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7891128A-3CA5-44B5-B736-25C399F93382}" xr6:coauthVersionLast="47" xr6:coauthVersionMax="47" xr10:uidLastSave="{00000000-0000-0000-0000-000000000000}"/>
  <bookViews>
    <workbookView xWindow="29370" yWindow="570" windowWidth="29865" windowHeight="19395" xr2:uid="{B907EF29-ECAF-45D4-AC40-F0CCE5F1F03E}"/>
  </bookViews>
  <sheets>
    <sheet name="Stammdaten" sheetId="18" r:id="rId1"/>
    <sheet name="GeStruk-Ist" sheetId="2" r:id="rId2"/>
    <sheet name="GeStruk-Ziel" sheetId="19" r:id="rId3"/>
    <sheet name="BVG" sheetId="8" r:id="rId4"/>
    <sheet name="BVA" sheetId="9" r:id="rId5"/>
    <sheet name="MK" sheetId="6" r:id="rId6"/>
    <sheet name="NWR" sheetId="4" r:id="rId7"/>
    <sheet name="HWR" sheetId="10" r:id="rId8"/>
    <sheet name="SR" sheetId="11" r:id="rId9"/>
    <sheet name="BSR" sheetId="12" r:id="rId10"/>
    <sheet name="NE" sheetId="13" r:id="rId11"/>
    <sheet name="UB" sheetId="5" r:id="rId12"/>
    <sheet name="LB" sheetId="14" r:id="rId13"/>
    <sheet name="Auswertung" sheetId="15" r:id="rId14"/>
    <sheet name="Wertigkeit" sheetId="17" r:id="rId15"/>
    <sheet name="key" sheetId="20" state="hidden" r:id="rId16"/>
    <sheet name="Anleitung" sheetId="7" state="hidden" r:id="rId17"/>
  </sheets>
  <definedNames>
    <definedName name="_Hlk115166499" localSheetId="10">NE!$T$13</definedName>
    <definedName name="_Hlk119307503" localSheetId="10">NE!$L$16</definedName>
    <definedName name="_Hlk119308177" localSheetId="10">NE!$T$16</definedName>
    <definedName name="_Hlk121840604" localSheetId="3">BVG!$M$8</definedName>
    <definedName name="_xlnm.Print_Area" localSheetId="13">Auswertung!$A$2:$Q$51</definedName>
    <definedName name="_xlnm.Print_Area" localSheetId="9">BSR!$A$1:$N$31</definedName>
    <definedName name="_xlnm.Print_Area" localSheetId="4">BVA!$A$1:$P$37</definedName>
    <definedName name="_xlnm.Print_Area" localSheetId="3">BVG!$A$1:$N$55</definedName>
    <definedName name="_xlnm.Print_Area" localSheetId="1">'GeStruk-Ist'!$A$1:$AA$76</definedName>
    <definedName name="_xlnm.Print_Area" localSheetId="2">'GeStruk-Ziel'!$A$1:$R$75</definedName>
    <definedName name="_xlnm.Print_Area" localSheetId="7">HWR!$A$1:$P$47</definedName>
    <definedName name="_xlnm.Print_Area" localSheetId="12">LB!$A$1:$P$43</definedName>
    <definedName name="_xlnm.Print_Area" localSheetId="5">MK!$A$1:$P$37</definedName>
    <definedName name="_xlnm.Print_Area" localSheetId="10">NE!$A$1:$Z$46</definedName>
    <definedName name="_xlnm.Print_Area" localSheetId="6">NWR!$A$1:$N$33</definedName>
    <definedName name="_xlnm.Print_Area" localSheetId="8">SR!$A$2:$Q$53</definedName>
    <definedName name="_xlnm.Print_Area" localSheetId="0">Stammdaten!$A$1:$M$79</definedName>
    <definedName name="_xlnm.Print_Area" localSheetId="11">UB!$A$1:$Q$34</definedName>
    <definedName name="_xlnm.Print_Area" localSheetId="14">Wertigkeit!$A$2:$P$41</definedName>
  </definedNames>
  <calcPr calcId="191029"/>
  <customWorkbookViews>
    <customWorkbookView name="test" guid="{B75063BA-4717-43F8-8B16-CDCBE07E925A}" includePrintSettings="0" maximized="1" xWindow="-8" yWindow="-1088" windowWidth="1936" windowHeight="1048" tabRatio="743" activeSheetId="19"/>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7" l="1"/>
  <c r="A1" i="15"/>
  <c r="N5" i="11"/>
  <c r="N4" i="11"/>
  <c r="N16" i="11"/>
  <c r="Q17" i="11"/>
  <c r="Q6" i="11" l="1"/>
  <c r="AA14" i="2"/>
  <c r="B34" i="15"/>
  <c r="E39" i="17"/>
  <c r="G39" i="17"/>
  <c r="I39" i="17"/>
  <c r="K39" i="17"/>
  <c r="E40" i="17"/>
  <c r="G40" i="17"/>
  <c r="I40" i="17"/>
  <c r="K40" i="17"/>
  <c r="E41" i="17"/>
  <c r="G41" i="17"/>
  <c r="I41" i="17"/>
  <c r="K41" i="17"/>
  <c r="C36" i="9"/>
  <c r="H27" i="9"/>
  <c r="C36" i="6" l="1"/>
  <c r="C18" i="6"/>
  <c r="C18" i="9"/>
  <c r="A1" i="14"/>
  <c r="A1" i="5"/>
  <c r="A1" i="13"/>
  <c r="A1" i="12"/>
  <c r="A1" i="11"/>
  <c r="A1" i="10"/>
  <c r="A1" i="4"/>
  <c r="A1" i="6"/>
  <c r="A1" i="9"/>
  <c r="A1" i="8"/>
  <c r="A1" i="19"/>
  <c r="A1" i="2" l="1"/>
  <c r="AA35" i="2"/>
  <c r="AA41" i="2"/>
  <c r="AA12" i="2"/>
  <c r="Q7" i="11"/>
  <c r="Q8" i="11"/>
  <c r="Q9" i="11"/>
  <c r="Q10" i="11"/>
  <c r="Q11" i="11"/>
  <c r="Q12" i="11"/>
  <c r="Q13" i="11"/>
  <c r="Q14" i="11"/>
  <c r="Q15" i="11"/>
  <c r="Q18" i="11" l="1"/>
  <c r="D15" i="5"/>
  <c r="H6" i="5" s="1"/>
  <c r="R40" i="19"/>
  <c r="R34" i="19"/>
  <c r="M72" i="19"/>
  <c r="K72" i="19"/>
  <c r="I72" i="19"/>
  <c r="G72" i="19"/>
  <c r="M70" i="19"/>
  <c r="K70" i="19"/>
  <c r="I70" i="19"/>
  <c r="G70" i="19"/>
  <c r="E70" i="19"/>
  <c r="Q70" i="19" s="1"/>
  <c r="M64" i="19"/>
  <c r="K64" i="19"/>
  <c r="I64" i="19"/>
  <c r="G64" i="19"/>
  <c r="E64" i="19"/>
  <c r="Q64" i="19" s="1"/>
  <c r="I56" i="19"/>
  <c r="M56" i="19"/>
  <c r="K56" i="19"/>
  <c r="G56" i="19"/>
  <c r="E56" i="19"/>
  <c r="Q56" i="19" s="1"/>
  <c r="Q5" i="11" s="1"/>
  <c r="M50" i="19"/>
  <c r="M58" i="19" s="1"/>
  <c r="K50" i="19"/>
  <c r="K58" i="19" s="1"/>
  <c r="I50" i="19"/>
  <c r="I58" i="19" s="1"/>
  <c r="G50" i="19"/>
  <c r="G58" i="19" s="1"/>
  <c r="E50" i="19"/>
  <c r="M38" i="19"/>
  <c r="K38" i="19"/>
  <c r="I38" i="19"/>
  <c r="G38" i="19"/>
  <c r="E38" i="19"/>
  <c r="Q38" i="19" s="1"/>
  <c r="W71" i="2"/>
  <c r="U71" i="2"/>
  <c r="S71" i="2"/>
  <c r="Q71" i="2"/>
  <c r="O71" i="2"/>
  <c r="M71" i="2"/>
  <c r="K71" i="2"/>
  <c r="I71" i="2"/>
  <c r="G71" i="2"/>
  <c r="E71" i="2"/>
  <c r="W65" i="2"/>
  <c r="W73" i="2" s="1"/>
  <c r="U65" i="2"/>
  <c r="U73" i="2" s="1"/>
  <c r="S65" i="2"/>
  <c r="S73" i="2" s="1"/>
  <c r="Q65" i="2"/>
  <c r="Q73" i="2" s="1"/>
  <c r="O65" i="2"/>
  <c r="O73" i="2" s="1"/>
  <c r="M65" i="2"/>
  <c r="M73" i="2" s="1"/>
  <c r="K65" i="2"/>
  <c r="K73" i="2" s="1"/>
  <c r="I65" i="2"/>
  <c r="I73" i="2" s="1"/>
  <c r="G65" i="2"/>
  <c r="E65" i="2"/>
  <c r="W57" i="2"/>
  <c r="U57" i="2"/>
  <c r="S57" i="2"/>
  <c r="Q57" i="2"/>
  <c r="O57" i="2"/>
  <c r="M57" i="2"/>
  <c r="K57" i="2"/>
  <c r="I57" i="2"/>
  <c r="G57" i="2"/>
  <c r="E57" i="2"/>
  <c r="W51" i="2"/>
  <c r="W59" i="2" s="1"/>
  <c r="U51" i="2"/>
  <c r="U59" i="2" s="1"/>
  <c r="S51" i="2"/>
  <c r="S59" i="2" s="1"/>
  <c r="Q51" i="2"/>
  <c r="Q59" i="2" s="1"/>
  <c r="O51" i="2"/>
  <c r="O59" i="2" s="1"/>
  <c r="M51" i="2"/>
  <c r="M59" i="2" s="1"/>
  <c r="K51" i="2"/>
  <c r="K59" i="2" s="1"/>
  <c r="I51" i="2"/>
  <c r="AC59" i="2" s="1"/>
  <c r="G51" i="2"/>
  <c r="G59" i="2" s="1"/>
  <c r="E51" i="2"/>
  <c r="E30" i="2"/>
  <c r="E33" i="2" s="1"/>
  <c r="W39" i="2"/>
  <c r="U39" i="2"/>
  <c r="S39" i="2"/>
  <c r="Q39" i="2"/>
  <c r="O39" i="2"/>
  <c r="M39" i="2"/>
  <c r="K39" i="2"/>
  <c r="I39" i="2"/>
  <c r="E39" i="2"/>
  <c r="G39" i="2"/>
  <c r="H37" i="11"/>
  <c r="H14" i="11"/>
  <c r="E5" i="17"/>
  <c r="D33" i="11" l="1"/>
  <c r="H34" i="11" s="1"/>
  <c r="H41" i="11" s="1"/>
  <c r="D10" i="11"/>
  <c r="G73" i="2"/>
  <c r="E73" i="2"/>
  <c r="E72" i="19"/>
  <c r="Q72" i="19"/>
  <c r="Q50" i="19"/>
  <c r="Q58" i="19" s="1"/>
  <c r="AA39" i="2"/>
  <c r="R38" i="19" s="1"/>
  <c r="E58" i="19"/>
  <c r="AA71" i="2"/>
  <c r="R70" i="19" s="1"/>
  <c r="AA65" i="2"/>
  <c r="AA57" i="2"/>
  <c r="E59" i="2"/>
  <c r="AA51" i="2"/>
  <c r="I59" i="2"/>
  <c r="F78" i="18"/>
  <c r="F58" i="18"/>
  <c r="E9" i="17" s="1"/>
  <c r="E7" i="17"/>
  <c r="D31" i="5"/>
  <c r="H22" i="5" s="1"/>
  <c r="H50" i="8"/>
  <c r="H9" i="9"/>
  <c r="Q42" i="19"/>
  <c r="Q40" i="19"/>
  <c r="Q34" i="19"/>
  <c r="C27" i="13" s="1"/>
  <c r="Q27" i="19"/>
  <c r="G27" i="4" s="1"/>
  <c r="Q25" i="19"/>
  <c r="Q13" i="19"/>
  <c r="Q11" i="19"/>
  <c r="AA26" i="2"/>
  <c r="R25" i="19" s="1"/>
  <c r="R11" i="19"/>
  <c r="M44" i="19"/>
  <c r="K44" i="19"/>
  <c r="I44" i="19"/>
  <c r="G44" i="19"/>
  <c r="E44" i="19"/>
  <c r="M29" i="19"/>
  <c r="M32" i="19" s="1"/>
  <c r="K29" i="19"/>
  <c r="K32" i="19" s="1"/>
  <c r="I29" i="19"/>
  <c r="I32" i="19" s="1"/>
  <c r="G29" i="19"/>
  <c r="G32" i="19" s="1"/>
  <c r="E29" i="19"/>
  <c r="E32" i="19" s="1"/>
  <c r="M15" i="19"/>
  <c r="K15" i="19"/>
  <c r="I15" i="19"/>
  <c r="G15" i="19"/>
  <c r="E15" i="19"/>
  <c r="AA43" i="2"/>
  <c r="C6" i="13"/>
  <c r="AA28" i="2"/>
  <c r="R27" i="19" s="1"/>
  <c r="R13" i="19"/>
  <c r="W45" i="2"/>
  <c r="U45" i="2"/>
  <c r="S45" i="2"/>
  <c r="Q45" i="2"/>
  <c r="O45" i="2"/>
  <c r="M45" i="2"/>
  <c r="K45" i="2"/>
  <c r="I45" i="2"/>
  <c r="G45" i="2"/>
  <c r="E45" i="2"/>
  <c r="W16" i="2"/>
  <c r="U16" i="2"/>
  <c r="S16" i="2"/>
  <c r="Q16" i="2"/>
  <c r="O16" i="2"/>
  <c r="M16" i="2"/>
  <c r="K16" i="2"/>
  <c r="E16" i="2"/>
  <c r="G16" i="2"/>
  <c r="I16" i="2"/>
  <c r="I30" i="2"/>
  <c r="I33" i="2" s="1"/>
  <c r="W30" i="2"/>
  <c r="W33" i="2" s="1"/>
  <c r="U30" i="2"/>
  <c r="U33" i="2" s="1"/>
  <c r="S30" i="2"/>
  <c r="S33" i="2" s="1"/>
  <c r="Q30" i="2"/>
  <c r="Q33" i="2" s="1"/>
  <c r="O30" i="2"/>
  <c r="O33" i="2" s="1"/>
  <c r="M30" i="2"/>
  <c r="M33" i="2" s="1"/>
  <c r="K30" i="2"/>
  <c r="K33" i="2" s="1"/>
  <c r="H23" i="8"/>
  <c r="AA45" i="2" l="1"/>
  <c r="R44" i="19" s="1"/>
  <c r="R42" i="19"/>
  <c r="R50" i="19"/>
  <c r="AA59" i="2"/>
  <c r="R58" i="19" s="1"/>
  <c r="Q4" i="11"/>
  <c r="R56" i="19"/>
  <c r="AA16" i="2"/>
  <c r="R15" i="19" s="1"/>
  <c r="R64" i="19"/>
  <c r="AA73" i="2"/>
  <c r="R72" i="19" s="1"/>
  <c r="E75" i="2"/>
  <c r="D20" i="8"/>
  <c r="Q75" i="2"/>
  <c r="D18" i="8"/>
  <c r="O75" i="2"/>
  <c r="D22" i="8"/>
  <c r="D26" i="8"/>
  <c r="U75" i="2"/>
  <c r="K75" i="2"/>
  <c r="D14" i="8"/>
  <c r="D16" i="8"/>
  <c r="C26" i="12"/>
  <c r="S75" i="2"/>
  <c r="D24" i="8"/>
  <c r="D40" i="8"/>
  <c r="D42" i="8"/>
  <c r="D44" i="8"/>
  <c r="D12" i="8"/>
  <c r="Q15" i="19"/>
  <c r="D38" i="8"/>
  <c r="Q32" i="19"/>
  <c r="D30" i="10" s="1"/>
  <c r="M75" i="2"/>
  <c r="W75" i="2"/>
  <c r="D36" i="10"/>
  <c r="Q29" i="19"/>
  <c r="D36" i="8"/>
  <c r="E15" i="17"/>
  <c r="Q44" i="19"/>
  <c r="D34" i="10" s="1"/>
  <c r="K74" i="19"/>
  <c r="G74" i="19"/>
  <c r="I75" i="2"/>
  <c r="M74" i="19"/>
  <c r="I74" i="19"/>
  <c r="E74" i="19"/>
  <c r="G30" i="2"/>
  <c r="G33" i="2" s="1"/>
  <c r="AA33" i="2" s="1"/>
  <c r="R32" i="19" s="1"/>
  <c r="H10" i="11" l="1"/>
  <c r="D6" i="11"/>
  <c r="H6" i="11" s="1"/>
  <c r="G75" i="2"/>
  <c r="D32" i="10"/>
  <c r="C27" i="4"/>
  <c r="D35" i="14"/>
  <c r="C31" i="4"/>
  <c r="H36" i="8"/>
  <c r="H39" i="8" s="1"/>
  <c r="C29" i="4"/>
  <c r="D29" i="11"/>
  <c r="D8" i="8"/>
  <c r="D31" i="14"/>
  <c r="C25" i="4"/>
  <c r="C24" i="12"/>
  <c r="D38" i="10"/>
  <c r="D39" i="14"/>
  <c r="C30" i="12"/>
  <c r="D37" i="14"/>
  <c r="D33" i="14"/>
  <c r="C28" i="12"/>
  <c r="C22" i="12"/>
  <c r="D29" i="14"/>
  <c r="D28" i="10"/>
  <c r="C23" i="4"/>
  <c r="Q74" i="19"/>
  <c r="AA30" i="2"/>
  <c r="R29" i="19" s="1"/>
  <c r="D10" i="8"/>
  <c r="H8" i="8" l="1"/>
  <c r="H11" i="8" s="1"/>
  <c r="G27" i="12"/>
  <c r="G12" i="4"/>
  <c r="H48" i="8" l="1"/>
  <c r="H54" i="8" s="1"/>
  <c r="D10" i="14" l="1"/>
  <c r="C9" i="12"/>
  <c r="D10" i="10"/>
  <c r="C9" i="4"/>
  <c r="E8" i="15" l="1"/>
  <c r="D8" i="15"/>
  <c r="F8" i="15" l="1"/>
  <c r="D21" i="5" l="1"/>
  <c r="C33" i="13"/>
  <c r="G28" i="13" s="1"/>
  <c r="E20" i="15" s="1"/>
  <c r="E6" i="15"/>
  <c r="H26" i="6"/>
  <c r="E10" i="15" s="1"/>
  <c r="H8" i="6"/>
  <c r="D10" i="15" s="1"/>
  <c r="F10" i="15" l="1"/>
  <c r="H29" i="5"/>
  <c r="H27" i="5"/>
  <c r="H32" i="5" l="1"/>
  <c r="E22" i="15" s="1"/>
  <c r="AA75" i="2" l="1"/>
  <c r="R74" i="19" s="1"/>
  <c r="D14" i="14" l="1"/>
  <c r="C13" i="12"/>
  <c r="C11" i="4"/>
  <c r="D12" i="10"/>
  <c r="C7" i="4"/>
  <c r="D8" i="10"/>
  <c r="D8" i="14"/>
  <c r="C7" i="12"/>
  <c r="D18" i="14"/>
  <c r="D18" i="10"/>
  <c r="C13" i="4"/>
  <c r="D12" i="14"/>
  <c r="C11" i="12"/>
  <c r="D14" i="10"/>
  <c r="H29" i="11"/>
  <c r="H51" i="11" s="1"/>
  <c r="E16" i="15" s="1"/>
  <c r="G22" i="4"/>
  <c r="G25" i="4" s="1"/>
  <c r="H28" i="10"/>
  <c r="H29" i="14"/>
  <c r="H31" i="14" s="1"/>
  <c r="H42" i="14" s="1"/>
  <c r="E24" i="15" s="1"/>
  <c r="G30" i="12"/>
  <c r="J30" i="12" s="1"/>
  <c r="E18" i="15" s="1"/>
  <c r="H21" i="8" l="1"/>
  <c r="H27" i="8" s="1"/>
  <c r="G31" i="4"/>
  <c r="E12" i="15" s="1"/>
  <c r="C15" i="4"/>
  <c r="G7" i="4" s="1"/>
  <c r="D16" i="14"/>
  <c r="H8" i="14" s="1"/>
  <c r="H10" i="14" s="1"/>
  <c r="H21" i="14" s="1"/>
  <c r="D24" i="15" s="1"/>
  <c r="D16" i="10"/>
  <c r="H8" i="10" s="1"/>
  <c r="H10" i="10" s="1"/>
  <c r="H20" i="10" s="1"/>
  <c r="D14" i="15" s="1"/>
  <c r="C15" i="12"/>
  <c r="G12" i="12" s="1"/>
  <c r="H22" i="11"/>
  <c r="D16" i="15" s="1"/>
  <c r="F16" i="15" s="1"/>
  <c r="H30" i="10"/>
  <c r="H46" i="10" l="1"/>
  <c r="E14" i="15" s="1"/>
  <c r="F14" i="15" s="1"/>
  <c r="G10" i="4"/>
  <c r="G15" i="4" s="1"/>
  <c r="D12" i="15" s="1"/>
  <c r="F12" i="15" s="1"/>
  <c r="D5" i="5"/>
  <c r="G15" i="12"/>
  <c r="J15" i="12" s="1"/>
  <c r="D18" i="15" s="1"/>
  <c r="F18" i="15" s="1"/>
  <c r="E26" i="15" l="1"/>
  <c r="H13" i="5"/>
  <c r="H11" i="5"/>
  <c r="D6" i="15"/>
  <c r="C12" i="13"/>
  <c r="G7" i="13" s="1"/>
  <c r="D20" i="15" s="1"/>
  <c r="F20" i="15" s="1"/>
  <c r="F24" i="15"/>
  <c r="F6" i="15" l="1"/>
  <c r="H16" i="5"/>
  <c r="D22" i="15" s="1"/>
  <c r="F22" i="15" s="1"/>
  <c r="D33" i="15" s="1"/>
  <c r="D26" i="15" l="1"/>
  <c r="E13" i="17"/>
  <c r="D31" i="15"/>
  <c r="E11" i="17" s="1"/>
  <c r="E17" i="17" l="1"/>
  <c r="F26" i="15"/>
</calcChain>
</file>

<file path=xl/sharedStrings.xml><?xml version="1.0" encoding="utf-8"?>
<sst xmlns="http://schemas.openxmlformats.org/spreadsheetml/2006/main" count="883" uniqueCount="448">
  <si>
    <t>7-Stufige GSK</t>
  </si>
  <si>
    <t xml:space="preserve">ÖSL Bewertungsklasse </t>
  </si>
  <si>
    <t>&gt; 5,3</t>
  </si>
  <si>
    <t>&gt; 4,4 und ≤ 5,3</t>
  </si>
  <si>
    <t>Laufentwicklung</t>
  </si>
  <si>
    <t>&gt; 3,5 und ≤ 4,4</t>
  </si>
  <si>
    <t>Längsprofil</t>
  </si>
  <si>
    <t>&gt; 2,6 und ≤ 3,5</t>
  </si>
  <si>
    <t>Sohlenstruktur</t>
  </si>
  <si>
    <t>≤ 2,6</t>
  </si>
  <si>
    <t>Querprofil</t>
  </si>
  <si>
    <t>Uferstruktur</t>
  </si>
  <si>
    <t>Laufform</t>
  </si>
  <si>
    <t>Krümmungserosion</t>
  </si>
  <si>
    <t>Durchgängigkeit/QBW</t>
  </si>
  <si>
    <t>Rückstau</t>
  </si>
  <si>
    <t>Ausleitung</t>
  </si>
  <si>
    <t>Verrohrung</t>
  </si>
  <si>
    <t>Sohlenzustand</t>
  </si>
  <si>
    <t>Substratdiversität</t>
  </si>
  <si>
    <t>Breitenvarianz</t>
  </si>
  <si>
    <t>Durchlässe/Brücken</t>
  </si>
  <si>
    <t>Uferbewuchs</t>
  </si>
  <si>
    <t>Uferzustand</t>
  </si>
  <si>
    <t>Gewässerumfeld</t>
  </si>
  <si>
    <t>Gewässerrandstreifen</t>
  </si>
  <si>
    <t>Flächennutzung</t>
  </si>
  <si>
    <t>Länge [m]:</t>
  </si>
  <si>
    <t>Niedrigwasserregulation</t>
  </si>
  <si>
    <t xml:space="preserve">Ist-Zustand </t>
  </si>
  <si>
    <t xml:space="preserve">GSK Gesamtbewertung </t>
  </si>
  <si>
    <t xml:space="preserve">Mittelwert: </t>
  </si>
  <si>
    <t>Strömungsdiversität/ Tiefenvarianz</t>
  </si>
  <si>
    <t>Bewertung Infrastruktur</t>
  </si>
  <si>
    <t>Vorhandensein von Subindikatoren a, b, c, d</t>
  </si>
  <si>
    <t>Bereitgestellt</t>
  </si>
  <si>
    <t>Biologische Vielfalt</t>
  </si>
  <si>
    <t>0 von 4</t>
  </si>
  <si>
    <t>Infrastruktur</t>
  </si>
  <si>
    <t>1 von 4</t>
  </si>
  <si>
    <t>b Erlebnis- u. Themenpfade und/oder Aussichtsplattform/ Aussichtsmöglichkeit</t>
  </si>
  <si>
    <t>2 von 4</t>
  </si>
  <si>
    <t>3 von 4</t>
  </si>
  <si>
    <t>d Zugänglichkeit und Erreichbarkeit</t>
  </si>
  <si>
    <t>4 von 4</t>
  </si>
  <si>
    <t>Umweltbildung</t>
  </si>
  <si>
    <t>c Regelmäßige Veranstaltungen zu Gewässerthemen</t>
  </si>
  <si>
    <t xml:space="preserve">Gewichtung </t>
  </si>
  <si>
    <t>1/3 Biol. Vielfalt:</t>
  </si>
  <si>
    <t>2/3 Infrastruktur:</t>
  </si>
  <si>
    <t>Bewertungsklasse aus Subindikatoren Infrastuktur:</t>
  </si>
  <si>
    <t xml:space="preserve">Ziel-Zustand </t>
  </si>
  <si>
    <t>Mikroklima</t>
  </si>
  <si>
    <t>ÖSL- Bewertungsklasse 1</t>
  </si>
  <si>
    <t>ÖSL- Bewertungsklasse 2</t>
  </si>
  <si>
    <t>ÖSL- Bewertungsklasse 3</t>
  </si>
  <si>
    <t>ÖSL- Bewertungsklasse 4</t>
  </si>
  <si>
    <t xml:space="preserve">Flächenanteil [%]: </t>
  </si>
  <si>
    <t>ÖSL- Bewertungsklasse 5</t>
  </si>
  <si>
    <t>Landbedeckung</t>
  </si>
  <si>
    <t xml:space="preserve">Beton- oder Asphaltflächen / Vegetationslose Böden / vertrocknetes Grünland </t>
  </si>
  <si>
    <t>sehr gering</t>
  </si>
  <si>
    <t xml:space="preserve">Vitales Grünland und Wiesen / Landwirtschaftliche Nutzung </t>
  </si>
  <si>
    <t>gering</t>
  </si>
  <si>
    <t>Hecken / kleine Baumbestände (einfache Baumreihe, Galerie im Gewässerrandstreifen)</t>
  </si>
  <si>
    <t>mittel</t>
  </si>
  <si>
    <t>Laubwald / Mischwald / Nadelwald / Forst (Ausnahme: Auwald)</t>
  </si>
  <si>
    <t>hoch</t>
  </si>
  <si>
    <t>Gewässer / feuchte Auenbereiche / Auwald / Röhricht</t>
  </si>
  <si>
    <t>sehr hoch</t>
  </si>
  <si>
    <t>Einstellung, damit nur in hellroten Zellen Eingaben gemacht werden können:</t>
  </si>
  <si>
    <t>Bei allen Zellen die man nicht sperren will (die hellro hinterlegten) das Häkchen bei gesperrt entfernen:  Start -- Zellen -- Format -- Zellen formatieren --Schutz -- Häkchen Gesperrt entfernen</t>
  </si>
  <si>
    <t>Dann Arbeitsblatt schützen, evtl Passwort vergeben: Überprüfen -- Blatt schützen</t>
  </si>
  <si>
    <t>Anleitung bei youtube https://www.youtube.com/watch?v=EDn6tCSgzDI</t>
  </si>
  <si>
    <t xml:space="preserve">ansonsten ist es nur Formatierung: alle Zellen weiß einfärben und Rand weg bzw nur Rahmen </t>
  </si>
  <si>
    <t xml:space="preserve">Bonus [ja/nein]: </t>
  </si>
  <si>
    <t xml:space="preserve"> </t>
  </si>
  <si>
    <t>Bewertungsklasse Umweltbildung:</t>
  </si>
  <si>
    <t>Bewertungsklasse Mikroklima:</t>
  </si>
  <si>
    <t>Blattschutz ist mit Kennwort "test" gesperrt</t>
  </si>
  <si>
    <t>Bewertungsklasse Niedrigwasserregulation:</t>
  </si>
  <si>
    <t>Biologische Vielfalt im Gewässer</t>
  </si>
  <si>
    <t>Mittelwert</t>
  </si>
  <si>
    <t>Gewichtung</t>
  </si>
  <si>
    <t xml:space="preserve">Bewertungsklasse 
Biologische Vielfalt im Gewässer: </t>
  </si>
  <si>
    <t>Biologische Vielfalt in der Aue</t>
  </si>
  <si>
    <t>Hochwasserregulation</t>
  </si>
  <si>
    <t>Sedimentregulation</t>
  </si>
  <si>
    <t>Ziel-Zustand</t>
  </si>
  <si>
    <t>Biologische Selbstreinigung</t>
  </si>
  <si>
    <t>Naherholung</t>
  </si>
  <si>
    <t>a Ufer- und Gewässerverfügbarkeit</t>
  </si>
  <si>
    <t>b Erreichbarkeit</t>
  </si>
  <si>
    <t>c Zugänglichkeit</t>
  </si>
  <si>
    <t>f spezifische Interaktion</t>
  </si>
  <si>
    <t>g Nähe zu Störfaktoren</t>
  </si>
  <si>
    <t xml:space="preserve">Bewertungsklasse 
Naherholung: </t>
  </si>
  <si>
    <t>Beitrag zum Landschaftsbild</t>
  </si>
  <si>
    <t>Natürlichkeit</t>
  </si>
  <si>
    <t>Bewertungsklasse Beitrag zum Landschaftsbild:</t>
  </si>
  <si>
    <t>Ist-Zustand</t>
  </si>
  <si>
    <t>Verbesserung</t>
  </si>
  <si>
    <t>ÖSL-Bewertung</t>
  </si>
  <si>
    <t xml:space="preserve">Niedrigwasserregulation </t>
  </si>
  <si>
    <t>Bewertungsklasse 
Biologische Selbstreinigung:</t>
  </si>
  <si>
    <t>ja</t>
  </si>
  <si>
    <t>Berechnung Biologische Selbstreinigung</t>
  </si>
  <si>
    <t>Niedrigwasserrinne/ Kolk</t>
  </si>
  <si>
    <t>Für Fischregion nur ungeeignete Niedrigwasserrinne oder Kolk im Maßnahmenpolygon vorhanden</t>
  </si>
  <si>
    <t>Keine Niedrigwasserrinne oder Kolk 
im Maßnahmenpolygon vorhanden</t>
  </si>
  <si>
    <t>Für Fischregion geeignete 
Niedrigwasserrinne oder Kolk im Maßnahmenpolygon vorhanden</t>
  </si>
  <si>
    <t>Siedlung, Acker, Industrie, Gewerbe, Straßen, Infrastruktur, Bestände invasiver Neophyten</t>
  </si>
  <si>
    <t>Brache</t>
  </si>
  <si>
    <t>Grünland</t>
  </si>
  <si>
    <t>Rückhaltevolumen</t>
  </si>
  <si>
    <t>Querbauwerke</t>
  </si>
  <si>
    <t>Kein Querbauwerk</t>
  </si>
  <si>
    <t>Durchlass, Verrohrung, Verdolung, 
bewegliches Wehr</t>
  </si>
  <si>
    <t>Erreichbarkeit</t>
  </si>
  <si>
    <t>keine Wege oder Straßen am oder zum Gewässer</t>
  </si>
  <si>
    <t>für Fußgänger*innen und Radfahrer*innen nur ungeeignete 
Wege/Straßen an das Gewässer heranführend, unabhängig von Entfernung zu ÖPNV-Anschluss u./o. Parkplatz u./o. Siedlung oder gewässerparallele Wege, die im Wesentlichen innerhalb des Gewässerrandstreifens verlaufen.</t>
  </si>
  <si>
    <t>Fuß- u./o. Radwege verlaufen überwiegend außerhalb 
des Gewässerrandstreifens und führen punktuell in Sichtweite an das Gewässer heran, aber Entfernung zu ÖPNV-Anschluss u./o. Parkplatz u./o. Siedlung &gt; 1000 m</t>
  </si>
  <si>
    <t>Fuß- u./o. Radwege verlaufen überwiegend außerhalb des 
Gewässerrandstreifens und führen punktuell in Sichtweite an das Gewässer heran, Entfernung zu ÖPNV-Anschluss u./o. Parkplatz u./o. Siedlung &gt; 100 m und &lt; 1000 m</t>
  </si>
  <si>
    <t>Fuß- u./o. Radwege verlaufen überwiegend außerhalb des 
Gewässerrandstreifens und führen punktuell in Sichtweite an das Gewässer heran, im Siedlungsbereich oder direkt an Siedlungsbereich angrenzend (&lt; 100 m)</t>
  </si>
  <si>
    <t>Zugänglichkeit</t>
  </si>
  <si>
    <t>Gewässer unzugänglich, da es entweder verdolt/überbaut ist, 
oder der Aufwand und/oder die Unfallgefahr zu groß sind (durch steile Uferböschungen, Gewässer durch Gebäude, Mauern, Zäune, Schutzzonen mit Betretungsverbot abgesperrt)</t>
  </si>
  <si>
    <t>Zugänglichkeit grundsätzlich möglich, aber nur unter erschwertem 
Aufwand (durch dichte Vegetation, kleine Mauern, steile Böschungen) oder großflächiger, mehr als punktueller Verbau für Treppen oder andere künstliche Zugänge</t>
  </si>
  <si>
    <t>Direkter Kontakt mit dem Wasser ohne nennenswerte 
Hindernisse möglich; flache Ufer oder Treppen etc. ermöglichen punktuellen bequemen Zugang</t>
  </si>
  <si>
    <t>Aufenthaltsqualität</t>
  </si>
  <si>
    <t>Aufenthalt am Gewässer nicht möglich, weil beispielsweise 
Häuserfronten direkt ans Wasser anschließen oder das angrenzende Umland aus Privatgrundstücken, die nicht betreten werden dürfen, besteht</t>
  </si>
  <si>
    <t>Sitzgelegenheiten am Ufer oder Aussichtsplattformen zum 
kurzen Verweilen im Stehen oder Ufer lädt zum im Gras sitzen oder spielen ein (aber keine Sitzgelegenheiten vorhanden)</t>
  </si>
  <si>
    <t>Attraktive Aufenthaltsmöglichkeiten mit Wiese und
 schattenspendenden Bäumen am Ufer zum Verweilen (Liegewiese, Picknick, Sport, Kinderspielplatz, offizielle Grillstelle o. ä.) und Sitzgelegenheiten und Entsorgungsinfrastrukturen (Abfall, Toiletten, o.ä.)</t>
  </si>
  <si>
    <t>Keine Interaktion mit dem Gewässer möglich</t>
  </si>
  <si>
    <t>1 von 3</t>
  </si>
  <si>
    <t>2 von 3</t>
  </si>
  <si>
    <t xml:space="preserve">Nähe zu Störfaktoren </t>
  </si>
  <si>
    <t>Keine bedeutsamen Störungen vorhanden</t>
  </si>
  <si>
    <t>Lärmquelle (Verkehr (auch wenig befahrene Straße), Industrie, 
Freizeitanlage, o.ä.) wahrnehmbar oder unmittelbar neben visueller Störung (ohne Geruchs- oder starke Lärmemissionen)</t>
  </si>
  <si>
    <t>Eigenart/ Seltenheit</t>
  </si>
  <si>
    <t>Berechnung der Flächenanteile z. B. mittels QGIS Plugin "area weighted average"</t>
  </si>
  <si>
    <t>Strömungsdiversität</t>
  </si>
  <si>
    <t>Tiefenvarianz</t>
  </si>
  <si>
    <t>e Aufenthaltsqualität</t>
  </si>
  <si>
    <t>Subindikatoren Infrastruktur</t>
  </si>
  <si>
    <t>Bitte den Bonus Kiesdepots prüfen und "ja" oder "nein" eingeben.</t>
  </si>
  <si>
    <t xml:space="preserve">Mittelwert Abschnitt 1 </t>
  </si>
  <si>
    <t>Mittelwert Abschnitt 2</t>
  </si>
  <si>
    <t>Mittelwert Abschnitt 3</t>
  </si>
  <si>
    <t>Gewichteter Mittelwert
aller Abschnitte</t>
  </si>
  <si>
    <t>Verbesserte ÖSL</t>
  </si>
  <si>
    <t>Verbesserte ÖSL-Klassen</t>
  </si>
  <si>
    <t>aus 10</t>
  </si>
  <si>
    <t>Gesamtbewertung</t>
  </si>
  <si>
    <t>Abschnitt Nr.</t>
  </si>
  <si>
    <t>Längengewichteter 
Mittelwert Ist-Zustand</t>
  </si>
  <si>
    <t>Längengewichteter 
Mittelwert Ziel-Zustand</t>
  </si>
  <si>
    <t>Legende</t>
  </si>
  <si>
    <t>Mittelwert Abschnitt 4</t>
  </si>
  <si>
    <t>Mittelwert Abschnitt 5</t>
  </si>
  <si>
    <t>Mittelwert Abschnitt 6</t>
  </si>
  <si>
    <t>Mittelwert Abschnitt 7</t>
  </si>
  <si>
    <t>Mittelwert Abschnitt 8</t>
  </si>
  <si>
    <t>Mittelwert Abschnitt 9</t>
  </si>
  <si>
    <t>Mittelwert Abschnitt 10</t>
  </si>
  <si>
    <t>Maßn.-Träger</t>
  </si>
  <si>
    <t>Name-Träger</t>
  </si>
  <si>
    <t>Telef.</t>
  </si>
  <si>
    <t>E-Mail</t>
  </si>
  <si>
    <t>Gewässername</t>
  </si>
  <si>
    <t>AWGN-ID</t>
  </si>
  <si>
    <t>Gew. Ordnung</t>
  </si>
  <si>
    <t>Stadt-/Landkreis</t>
  </si>
  <si>
    <t>Gemeinde</t>
  </si>
  <si>
    <t>&lt;Schlüssel RIPS&gt;</t>
  </si>
  <si>
    <t>Durchgängigkeit</t>
  </si>
  <si>
    <t>Gewässerstruktur</t>
  </si>
  <si>
    <t>Wasserentnahme</t>
  </si>
  <si>
    <t>Ziele (mehrfach):</t>
  </si>
  <si>
    <t>Länge [m]</t>
  </si>
  <si>
    <t>Lage II</t>
  </si>
  <si>
    <t>Maßn.-Umfang</t>
  </si>
  <si>
    <t>LAWA-Gewässertyp</t>
  </si>
  <si>
    <t xml:space="preserve">MaDok-Nr. </t>
  </si>
  <si>
    <t>Kostenerfassung Revitalisierungsmaßnahmen in BW</t>
  </si>
  <si>
    <t>Kurzbeschreibung</t>
  </si>
  <si>
    <t>Besonderheiten</t>
  </si>
  <si>
    <t>Stammdaten</t>
  </si>
  <si>
    <t>Kostenschätzung - Vorplanung HOAI Phase 2</t>
  </si>
  <si>
    <t>Objektplanung</t>
  </si>
  <si>
    <t>Gutachten</t>
  </si>
  <si>
    <t>Sonstiges</t>
  </si>
  <si>
    <t>Bau</t>
  </si>
  <si>
    <t>Kostenfeststellung – Abrechnung nach Umsetzung</t>
  </si>
  <si>
    <t xml:space="preserve">z.B. Vorbereitung, Architekten- und Ingenieurleistungen </t>
  </si>
  <si>
    <t>z.B. Finanzierung</t>
  </si>
  <si>
    <t>Wertigkeit</t>
  </si>
  <si>
    <t xml:space="preserve">Lage </t>
  </si>
  <si>
    <t>Summe</t>
  </si>
  <si>
    <t>Einordnung Schwellenwerte Möglichkeiten:</t>
  </si>
  <si>
    <t>Höhe der spezifischen Kosten</t>
  </si>
  <si>
    <t xml:space="preserve">Wertschöpfungsanalyse </t>
  </si>
  <si>
    <t>Kosten bis zum Median</t>
  </si>
  <si>
    <t>Maßnahme hat gute Wertschöpfung, wenn sich mind. 4 aus 10 ÖSL verbessern und in der Summe mind. 8 ÖSL-Klassen verbessert werden.</t>
  </si>
  <si>
    <t xml:space="preserve">Maßnahme hat gute Wertschöpfung, wenn sich mind. 6 aus 10 ÖSL verbessern und in der Summe mind. 12 ÖSL-Klassen verbessert werden. </t>
  </si>
  <si>
    <t>Maßnahme hat gute Wertschöpfung, wenn sich 8 aus 10 ÖSL in der Summe um mind. 16 ÖSL-Klassen verbessern.</t>
  </si>
  <si>
    <t>Schwellenwerte:</t>
  </si>
  <si>
    <t>mit Laufentwicklung/ 
Auenentwicklung</t>
  </si>
  <si>
    <t>innerorts</t>
  </si>
  <si>
    <t>außerorts</t>
  </si>
  <si>
    <t>Kategorie</t>
  </si>
  <si>
    <t>im Profil</t>
  </si>
  <si>
    <t>innerorts 
und außerorts</t>
  </si>
  <si>
    <t>Wertschöpfungsanalyse</t>
  </si>
  <si>
    <t>Anforderungen erfüllt, Maßnahme hat eine gute Wertschöpfung</t>
  </si>
  <si>
    <t>Anforderungen nicht erfüllt, Maßnahme hat keine ausreichende Wertschöpfung</t>
  </si>
  <si>
    <t>Übersicht Anforderungen</t>
  </si>
  <si>
    <t>Ergebnis 
Wertschöpfungsanalyse</t>
  </si>
  <si>
    <t>Wichtig: Keine Zellen verschieben, da es zu jeder Zelle einen Bezug gibt in diveresen Formeln!</t>
  </si>
  <si>
    <t>Bewertung des Rückhaltevolumens durch Abschätzung der überfluteten Fläche</t>
  </si>
  <si>
    <t>Spezifische Interaktion: Vorhandensein von Subindikatoren 1, 2, 3 
(Füße im Wasser abkühlen, nicht motorisiertes Bootsfahren, Angeln)</t>
  </si>
  <si>
    <t>: auszufüllen</t>
  </si>
  <si>
    <t>Bitte die Infrastruktur bewerten. 0 =  Subindikator ist nicht vorhanden, 1 = Subindikator ist vorhanden.</t>
  </si>
  <si>
    <t>Maßnahme hat keine ausreichende Wertschöpfung, Alternativenprüfung bzw. Nachweis der Unverzichtbarkeit</t>
  </si>
  <si>
    <t>Gewässerbreite [m]</t>
  </si>
  <si>
    <t>75 % Perzentil+10%</t>
  </si>
  <si>
    <t>90 % Perzentil+10%</t>
  </si>
  <si>
    <t>Kosten innerhalb des 75 % Perzentils + 10%</t>
  </si>
  <si>
    <t>Kosten oberhalb des 90 % Perzentils + 10%</t>
  </si>
  <si>
    <t>Kosten innerhalb des 90 % Perzentils + 10%</t>
  </si>
  <si>
    <t>Median + 10%</t>
  </si>
  <si>
    <t>Kosten unterhalb des Medians + 10%</t>
  </si>
  <si>
    <t>Kosten bis zum Median + 10 %</t>
  </si>
  <si>
    <t>Dropdowns:</t>
  </si>
  <si>
    <t>nein</t>
  </si>
  <si>
    <t>Kosten innerhalb des 75 % Perzentils + 10 %</t>
  </si>
  <si>
    <t>Kosten innerhalb des 90 % Perzentils + 10 %</t>
  </si>
  <si>
    <t>Kosten oberhalb des 90 % Perzentils + 10 %</t>
  </si>
  <si>
    <t xml:space="preserve">im </t>
  </si>
  <si>
    <t>links</t>
  </si>
  <si>
    <t>rechts</t>
  </si>
  <si>
    <t>k.A.</t>
  </si>
  <si>
    <t>Lage im Gewässer</t>
  </si>
  <si>
    <t>Gewässerordnung</t>
  </si>
  <si>
    <t>Bundeswasserstraße</t>
  </si>
  <si>
    <t>G.I.O. (WG § 4, Anlage 1)</t>
  </si>
  <si>
    <t>G.II.O.-in der Unterhaltung des Landes (WG § 32, Anlage 3)</t>
  </si>
  <si>
    <t>G.II.O.-von wasserwirtschaftlicher Bedeutung</t>
  </si>
  <si>
    <t>Stadt/-Landkreise</t>
  </si>
  <si>
    <t>Stuttgart</t>
  </si>
  <si>
    <t>Böblingen</t>
  </si>
  <si>
    <t>Esslingen</t>
  </si>
  <si>
    <t>Göppingen</t>
  </si>
  <si>
    <t>Ludwigsburg</t>
  </si>
  <si>
    <t>Rems-Murr-Kreis</t>
  </si>
  <si>
    <t>Heilbronn Stadt</t>
  </si>
  <si>
    <t>Heilbronn</t>
  </si>
  <si>
    <t>Hohenlohekreis</t>
  </si>
  <si>
    <t>Schwäbisch Hall</t>
  </si>
  <si>
    <t>Main-Tauber-Kreis</t>
  </si>
  <si>
    <t>Heidenheim</t>
  </si>
  <si>
    <t>Ostalbkreis</t>
  </si>
  <si>
    <t>Baden-Baden</t>
  </si>
  <si>
    <t>Karlsruhe Stadt</t>
  </si>
  <si>
    <t>Karlsruhe</t>
  </si>
  <si>
    <t>Rastatt</t>
  </si>
  <si>
    <t>Heidelberg</t>
  </si>
  <si>
    <t>Mannheim</t>
  </si>
  <si>
    <t>Neckar-Odenwald-Kreis</t>
  </si>
  <si>
    <t>Rhein-Neckar-Kreis</t>
  </si>
  <si>
    <t>Pforzheim</t>
  </si>
  <si>
    <t>Calw</t>
  </si>
  <si>
    <t>Enzkreis</t>
  </si>
  <si>
    <t>Freudenstadt</t>
  </si>
  <si>
    <t>Freiburg</t>
  </si>
  <si>
    <t>Breisgau-Hochschwarzwald</t>
  </si>
  <si>
    <t>Emmendingen</t>
  </si>
  <si>
    <t>Ortenaukreis</t>
  </si>
  <si>
    <t>Rottweil</t>
  </si>
  <si>
    <t>Schwarzwald-Baar-Kreis</t>
  </si>
  <si>
    <t>Tuttlingen</t>
  </si>
  <si>
    <t>Konstanz</t>
  </si>
  <si>
    <t>Lörrach</t>
  </si>
  <si>
    <t>Waldshut</t>
  </si>
  <si>
    <t>Reutlingen</t>
  </si>
  <si>
    <t>Tübingen</t>
  </si>
  <si>
    <t>Zollernalbkreis</t>
  </si>
  <si>
    <t>Ulm</t>
  </si>
  <si>
    <t>Alb-Donau-Kreis</t>
  </si>
  <si>
    <t>Biberach</t>
  </si>
  <si>
    <t>Bodenseekreis</t>
  </si>
  <si>
    <t>Ravensburg</t>
  </si>
  <si>
    <t>Sigmaringen</t>
  </si>
  <si>
    <t>LAWA Fließgewässertyp</t>
  </si>
  <si>
    <t>Typ 10: Kiesgeprägte Ströme</t>
  </si>
  <si>
    <t>Typ 111: Fließgewässerabschnitt ohne Typzuweisung</t>
  </si>
  <si>
    <t>Typ 11: Organisch geprägte Bäche</t>
  </si>
  <si>
    <t>Typ 12: Organisch geprägte Flüsse</t>
  </si>
  <si>
    <t>Typ 19: Kleine Niederungsfließgewässer in Fluss- und Stromtälern</t>
  </si>
  <si>
    <t>Typ 2.1: Bäche des Alpenvorlandes</t>
  </si>
  <si>
    <t>Typ 2.2: Kleine Flüsse des Alpenvorlandes</t>
  </si>
  <si>
    <t>Typ 21_S: Seeausflussgeprägte Fließgewässer des Alpenvorlandes (Süd)</t>
  </si>
  <si>
    <t>Typ 3.1: Bäche der Jungmoräne des Alpenvorlandes</t>
  </si>
  <si>
    <t>Typ 3.2: Kleine Flüsse der Jungmoräne des Alpenvorlandes</t>
  </si>
  <si>
    <t>Typ 4: Große Flüsse des Alpenvorlandes</t>
  </si>
  <si>
    <t>Typ 5.1: Feinmaterialreiche, silikatische Mittelgebirgsbäche</t>
  </si>
  <si>
    <t>Typ 5: Grobmaterialreiche, silikatische Mittelgebirgsbäche</t>
  </si>
  <si>
    <t>Typ 6: Feinmaterialreiche, karbonatische Mittelgebirgsbäche</t>
  </si>
  <si>
    <t>Typ 6_K: Feinmaterialreiche, karbonatische Mittelgebirgsbäche des Keupers</t>
  </si>
  <si>
    <t>Typ 9.1: Karbonatische, fein- bis grobmaterialreiche Mittelgebirgsflüsse</t>
  </si>
  <si>
    <t>Typ 9.1_K: Karbonatische, fein- bis grobmaterialreiche Mittelgebirgsflüsse des Keupers</t>
  </si>
  <si>
    <t>Typ 9.2: Große Flüsse des Mittelgebirges</t>
  </si>
  <si>
    <t>Typ 999: Künstliches/überw. künstl. Fließgewässer ohne Typzuweisung</t>
  </si>
  <si>
    <t>Typ 9: Silikatische, fein- bis grobmaterialreiche Mittelgebirgsflüsse</t>
  </si>
  <si>
    <t>Typ_111_Trocken: nur periodisch wasserführend</t>
  </si>
  <si>
    <t>Typ 7: Grobmaterialreiche, karbonatische Mittelgebirgsbäche</t>
  </si>
  <si>
    <t xml:space="preserve">LAWA-BLANO Nr. 
</t>
  </si>
  <si>
    <t>Bewertungsklasse 
Biologische Vielfalt in der Aue:</t>
  </si>
  <si>
    <t xml:space="preserve">Bewertungsklasse 
Hochwasserregulation: </t>
  </si>
  <si>
    <t>Bewertungsklasse 
Sedimentregulation:</t>
  </si>
  <si>
    <t>Lage zum Gewässer</t>
  </si>
  <si>
    <t>d potentiell zu beobachtendes Artenspektrum</t>
  </si>
  <si>
    <t>Einordnung in Kostenkategorie</t>
  </si>
  <si>
    <t>Kosten (brutto)</t>
  </si>
  <si>
    <t>&lt;Summe brutto [€]&gt;</t>
  </si>
  <si>
    <t xml:space="preserve">Jahr der Kostenschätzung </t>
  </si>
  <si>
    <t xml:space="preserve">Jahr der Kostenfeststellung </t>
  </si>
  <si>
    <t>Maßnahmenträger</t>
  </si>
  <si>
    <t>Bund</t>
  </si>
  <si>
    <t>Land</t>
  </si>
  <si>
    <t>1 bis 3 geschützte Biotope im Maßnahmenpolygon, die je 
mindestens 3 % der Polygonfläche betragen, aber insgesamt weniger als 50 % der Polygonfläche ausmachen</t>
  </si>
  <si>
    <r>
      <rPr>
        <b/>
        <sz val="11"/>
        <color theme="1"/>
        <rFont val="Calibri"/>
        <family val="2"/>
        <scheme val="minor"/>
      </rPr>
      <t>b. Erlebnis- u. Themenpfade und/oder Aussichtsplattform/ Aussichtsmöglichkeit:</t>
    </r>
    <r>
      <rPr>
        <sz val="11"/>
        <color theme="1"/>
        <rFont val="Calibri"/>
        <family val="2"/>
        <scheme val="minor"/>
      </rPr>
      <t xml:space="preserve">
Im Maßnahmenpolygon ist ein Erlebnis- bzw. Themenpfad und/oder eine Aussichtsplattform/Aussichtsmöglichkeit vorhanden bzw. geplant. Erlebnis- bzw. Themenpfade sind ausgebaute Wege, die interaktive Module und/oder Schautafeln umfassen. Um als Themenpfad zu gelten, müssen mehrere Lehrtafeln mit spezifischen Inhalten vorhanden sein. Wenn es eine Lehrtafel gibt, die bei einer Aussichtsmöglichkeit oder bei einer Plattform steht, sind Subindikator a und b erfüllt. Wenn es einen Themenpfad/Erlebnispfad mit Tafeln gibt, ist immer automatisch Subindikator a mit erfüllt.</t>
    </r>
  </si>
  <si>
    <r>
      <rPr>
        <b/>
        <sz val="11"/>
        <color theme="1"/>
        <rFont val="Calibri"/>
        <family val="2"/>
        <scheme val="minor"/>
      </rPr>
      <t>d. Zugänglichkeit und Erreichbarkeit</t>
    </r>
    <r>
      <rPr>
        <sz val="11"/>
        <color theme="1"/>
        <rFont val="Calibri"/>
        <family val="2"/>
        <scheme val="minor"/>
      </rPr>
      <t xml:space="preserve">
Die Indikatoren Zugänglichkeit und Erreichbarkeit der ÖSL „Naherholung“ sind jeweils mit „mittel“ oder besser bewertet.</t>
    </r>
  </si>
  <si>
    <t>z.B. Fachgutachten und Beratung</t>
  </si>
  <si>
    <t>z.B. Grundstückswert und Grundstücksnebenkosten</t>
  </si>
  <si>
    <t>z.B. Verlegung und Bau von Infrastruktur</t>
  </si>
  <si>
    <t>Biologische Vielfalt (BV) im Gewässer</t>
  </si>
  <si>
    <t>Bitte den Indikator Rinne/Kolk bewerten.</t>
  </si>
  <si>
    <t>Bitte den Indikator Rückhalt bewerten.</t>
  </si>
  <si>
    <t>Bitte den Indikator Sedi QBW bewerten.</t>
  </si>
  <si>
    <t xml:space="preserve">
Eigenart/Seltenheit</t>
  </si>
  <si>
    <t>Bitte den Indikator Eigenart/Seltenheit bewerten.</t>
  </si>
  <si>
    <t xml:space="preserve">Mittelwert 
</t>
  </si>
  <si>
    <t>Bewertung Natürlichkeit</t>
  </si>
  <si>
    <t>Bitte die Indikatoren bewerten.</t>
  </si>
  <si>
    <t>Mehr als 3 verschiedenartige geschützte Biotope im 
Maßnahmenpolygon, die je mindestens 3 % der Polygonfläche betragen, oder mindestens 1 Biotop, das insgesamt mindestens 50 % der Polygonfläche ausmacht</t>
  </si>
  <si>
    <t>Grunderwerb</t>
  </si>
  <si>
    <t xml:space="preserve">bei G.I.O.: </t>
  </si>
  <si>
    <t xml:space="preserve">Maßnahmen-Nr. </t>
  </si>
  <si>
    <t xml:space="preserve">bei G.II.O.: </t>
  </si>
  <si>
    <t>Maßnahmenbereich-ID</t>
  </si>
  <si>
    <t xml:space="preserve">Ansprechperson </t>
  </si>
  <si>
    <t xml:space="preserve">ggf. Ansprechperson </t>
  </si>
  <si>
    <t>Uferbewuchs L</t>
  </si>
  <si>
    <t>Uferbewuchs R</t>
  </si>
  <si>
    <t>Uferzustand L</t>
  </si>
  <si>
    <t>Uferzustand R</t>
  </si>
  <si>
    <t>Flächennutzung R</t>
  </si>
  <si>
    <t>Gewässerrandstreifen L</t>
  </si>
  <si>
    <t>Gewässerrandstreifen R</t>
  </si>
  <si>
    <t>Flächennutzung L</t>
  </si>
  <si>
    <t>1 GSK Abschnitt oberstrom</t>
  </si>
  <si>
    <t>2 GSK Abschnitt oberstrom</t>
  </si>
  <si>
    <t>3 GSK Abschnitt oberstrom</t>
  </si>
  <si>
    <t>4 GSK Abschnitt oberstrom</t>
  </si>
  <si>
    <t>5 GSK Abschnitt oberstrom</t>
  </si>
  <si>
    <t>6 GSK Abschnitt oberstrom</t>
  </si>
  <si>
    <t>7 GSK Abschnitt oberstrom</t>
  </si>
  <si>
    <t>8 GSK Abschnitt oberstrom</t>
  </si>
  <si>
    <t>9 GSK Abschnitt oberstrom</t>
  </si>
  <si>
    <t>10 GSK Abschnitt oberstrom</t>
  </si>
  <si>
    <t>GSK Abschnitte IST-Zustand</t>
  </si>
  <si>
    <t>GSK Abschnitte Ziel-Zustand</t>
  </si>
  <si>
    <t>Länge Abschnitt</t>
  </si>
  <si>
    <t>Längengewichteter Mittelwert der Abschnitte oberstrom</t>
  </si>
  <si>
    <t>Stützwehr, Schöpfwerk, Schleuse, 
festes Wehr</t>
  </si>
  <si>
    <t>Revitalisierung am Gewässer XY</t>
  </si>
  <si>
    <t>Bitte den Indikator Rückhalt bewerten. Dieser darf nicht schlechter bewertet werden als HW Rück im Ist-Zustand.</t>
  </si>
  <si>
    <t xml:space="preserve">Bitte bewerten, ob ein Bonus vergeben werden kann. </t>
  </si>
  <si>
    <t>Bonus [ja/nein]</t>
  </si>
  <si>
    <r>
      <t xml:space="preserve">Bewertung ÖSL </t>
    </r>
    <r>
      <rPr>
        <b/>
        <sz val="11"/>
        <color theme="1"/>
        <rFont val="Calibri"/>
        <family val="2"/>
        <scheme val="minor"/>
      </rPr>
      <t>ohne</t>
    </r>
    <r>
      <rPr>
        <sz val="11"/>
        <color theme="1"/>
        <rFont val="Calibri"/>
        <family val="2"/>
        <scheme val="minor"/>
      </rPr>
      <t xml:space="preserve"> Bonus</t>
    </r>
  </si>
  <si>
    <t>Summe Flächenanteile [%]</t>
  </si>
  <si>
    <t>Drop Down</t>
  </si>
  <si>
    <t>DropDown</t>
  </si>
  <si>
    <t>Projektbezeichnung</t>
  </si>
  <si>
    <t>für technische Belange</t>
  </si>
  <si>
    <t>für verwaltungsrelevante Belange</t>
  </si>
  <si>
    <t>: auszufüllen (Schadstrukturparameter)</t>
  </si>
  <si>
    <t xml:space="preserve">ÖSL-Bewertungsklasse </t>
  </si>
  <si>
    <t>ÖSL-Bewertungsklasse</t>
  </si>
  <si>
    <r>
      <t>HW</t>
    </r>
    <r>
      <rPr>
        <vertAlign val="subscript"/>
        <sz val="11"/>
        <color theme="1"/>
        <rFont val="Calibri"/>
        <family val="2"/>
        <scheme val="minor"/>
      </rPr>
      <t xml:space="preserve">Rau </t>
    </r>
    <r>
      <rPr>
        <sz val="11"/>
        <color theme="1"/>
        <rFont val="Calibri"/>
        <family val="2"/>
        <scheme val="minor"/>
      </rPr>
      <t>(Rauigkeit)</t>
    </r>
  </si>
  <si>
    <r>
      <t>Bewertung HW</t>
    </r>
    <r>
      <rPr>
        <vertAlign val="subscript"/>
        <sz val="11"/>
        <color theme="1"/>
        <rFont val="Calibri"/>
        <family val="2"/>
        <scheme val="minor"/>
      </rPr>
      <t>Rau</t>
    </r>
  </si>
  <si>
    <r>
      <t>HW</t>
    </r>
    <r>
      <rPr>
        <vertAlign val="subscript"/>
        <sz val="11"/>
        <color theme="1"/>
        <rFont val="Calibri"/>
        <family val="2"/>
        <scheme val="minor"/>
      </rPr>
      <t xml:space="preserve">Rück </t>
    </r>
    <r>
      <rPr>
        <sz val="11"/>
        <color theme="1"/>
        <rFont val="Calibri"/>
        <family val="2"/>
        <scheme val="minor"/>
      </rPr>
      <t>(Rückhaltevolumen)</t>
    </r>
  </si>
  <si>
    <r>
      <t>HW</t>
    </r>
    <r>
      <rPr>
        <vertAlign val="subscript"/>
        <sz val="11"/>
        <color theme="1"/>
        <rFont val="Calibri"/>
        <family val="2"/>
        <scheme val="minor"/>
      </rPr>
      <t>Rau</t>
    </r>
    <r>
      <rPr>
        <sz val="11"/>
        <color theme="1"/>
        <rFont val="Calibri"/>
        <family val="2"/>
        <scheme val="minor"/>
      </rPr>
      <t xml:space="preserve"> (Rauigkeit)</t>
    </r>
  </si>
  <si>
    <r>
      <t>HW</t>
    </r>
    <r>
      <rPr>
        <vertAlign val="subscript"/>
        <sz val="11"/>
        <color theme="1"/>
        <rFont val="Calibri"/>
        <family val="2"/>
        <scheme val="minor"/>
      </rPr>
      <t>Rück</t>
    </r>
    <r>
      <rPr>
        <sz val="11"/>
        <color theme="1"/>
        <rFont val="Calibri"/>
        <family val="2"/>
        <scheme val="minor"/>
      </rPr>
      <t xml:space="preserve"> (Rückhaltevolumen) </t>
    </r>
    <r>
      <rPr>
        <b/>
        <sz val="11"/>
        <color theme="1"/>
        <rFont val="Calibri"/>
        <family val="2"/>
        <scheme val="minor"/>
      </rPr>
      <t>ohne</t>
    </r>
    <r>
      <rPr>
        <sz val="11"/>
        <color theme="1"/>
        <rFont val="Calibri"/>
        <family val="2"/>
        <scheme val="minor"/>
      </rPr>
      <t xml:space="preserve"> Bonus</t>
    </r>
  </si>
  <si>
    <r>
      <t>Bonus zu HW</t>
    </r>
    <r>
      <rPr>
        <vertAlign val="subscript"/>
        <sz val="11"/>
        <color theme="1"/>
        <rFont val="Calibri"/>
        <family val="2"/>
        <scheme val="minor"/>
      </rPr>
      <t>Rück</t>
    </r>
    <r>
      <rPr>
        <sz val="11"/>
        <color theme="1"/>
        <rFont val="Calibri"/>
        <family val="2"/>
        <scheme val="minor"/>
      </rPr>
      <t xml:space="preserve"> [ja/nein]</t>
    </r>
  </si>
  <si>
    <r>
      <t>BV</t>
    </r>
    <r>
      <rPr>
        <vertAlign val="subscript"/>
        <sz val="11"/>
        <color theme="1"/>
        <rFont val="Calibri"/>
        <family val="2"/>
        <scheme val="minor"/>
      </rPr>
      <t>Gestruk</t>
    </r>
  </si>
  <si>
    <r>
      <t>Bewertung BV</t>
    </r>
    <r>
      <rPr>
        <vertAlign val="subscript"/>
        <sz val="11"/>
        <color theme="1"/>
        <rFont val="Calibri"/>
        <family val="2"/>
        <scheme val="minor"/>
      </rPr>
      <t>Gestruk</t>
    </r>
  </si>
  <si>
    <r>
      <t>BV</t>
    </r>
    <r>
      <rPr>
        <vertAlign val="subscript"/>
        <sz val="11"/>
        <color theme="1"/>
        <rFont val="Calibri"/>
        <family val="2"/>
        <scheme val="minor"/>
      </rPr>
      <t>Rinne/Kolk</t>
    </r>
  </si>
  <si>
    <r>
      <t>2/3 BV</t>
    </r>
    <r>
      <rPr>
        <vertAlign val="subscript"/>
        <sz val="11"/>
        <color theme="1"/>
        <rFont val="Calibri"/>
        <family val="2"/>
        <scheme val="minor"/>
      </rPr>
      <t>Gestruk</t>
    </r>
  </si>
  <si>
    <r>
      <t>1/3 BV</t>
    </r>
    <r>
      <rPr>
        <vertAlign val="subscript"/>
        <sz val="11"/>
        <color theme="1"/>
        <rFont val="Calibri"/>
        <family val="2"/>
        <scheme val="minor"/>
      </rPr>
      <t>Rinne/Kolk</t>
    </r>
  </si>
  <si>
    <r>
      <t>Bewertung BV</t>
    </r>
    <r>
      <rPr>
        <vertAlign val="subscript"/>
        <sz val="11"/>
        <color theme="1"/>
        <rFont val="Calibri"/>
        <family val="2"/>
        <scheme val="minor"/>
      </rPr>
      <t>GeStruk</t>
    </r>
  </si>
  <si>
    <r>
      <t>Sedi</t>
    </r>
    <r>
      <rPr>
        <vertAlign val="subscript"/>
        <sz val="11"/>
        <color theme="1"/>
        <rFont val="Calibri"/>
        <family val="2"/>
        <scheme val="minor"/>
      </rPr>
      <t>Sohle</t>
    </r>
    <r>
      <rPr>
        <sz val="11"/>
        <color theme="1"/>
        <rFont val="Calibri"/>
        <family val="2"/>
        <scheme val="minor"/>
      </rPr>
      <t xml:space="preserve"> (Sohlenstruktur)</t>
    </r>
  </si>
  <si>
    <r>
      <t>Sedi</t>
    </r>
    <r>
      <rPr>
        <vertAlign val="subscript"/>
        <sz val="11"/>
        <color theme="1"/>
        <rFont val="Calibri"/>
        <family val="2"/>
        <scheme val="minor"/>
      </rPr>
      <t xml:space="preserve">Quelle </t>
    </r>
  </si>
  <si>
    <r>
      <t>Bewertung Sedi</t>
    </r>
    <r>
      <rPr>
        <vertAlign val="subscript"/>
        <sz val="11"/>
        <color theme="1"/>
        <rFont val="Calibri"/>
        <family val="2"/>
        <scheme val="minor"/>
      </rPr>
      <t>Sohle</t>
    </r>
  </si>
  <si>
    <r>
      <t>Bewertung Sedi</t>
    </r>
    <r>
      <rPr>
        <vertAlign val="subscript"/>
        <sz val="11"/>
        <color theme="1"/>
        <rFont val="Calibri"/>
        <family val="2"/>
        <scheme val="minor"/>
      </rPr>
      <t xml:space="preserve">Quelle </t>
    </r>
    <r>
      <rPr>
        <sz val="11"/>
        <color theme="1"/>
        <rFont val="Calibri"/>
        <family val="2"/>
        <scheme val="minor"/>
      </rPr>
      <t xml:space="preserve">
</t>
    </r>
  </si>
  <si>
    <r>
      <t>Bewertung Sedi</t>
    </r>
    <r>
      <rPr>
        <vertAlign val="subscript"/>
        <sz val="11"/>
        <color theme="1"/>
        <rFont val="Calibri"/>
        <family val="2"/>
        <scheme val="minor"/>
      </rPr>
      <t xml:space="preserve">QBW </t>
    </r>
    <r>
      <rPr>
        <sz val="11"/>
        <color theme="1"/>
        <rFont val="Calibri"/>
        <family val="2"/>
        <scheme val="minor"/>
      </rPr>
      <t xml:space="preserve"> </t>
    </r>
  </si>
  <si>
    <r>
      <t>Sedi</t>
    </r>
    <r>
      <rPr>
        <vertAlign val="subscript"/>
        <sz val="11"/>
        <color theme="1"/>
        <rFont val="Calibri"/>
        <family val="2"/>
        <scheme val="minor"/>
      </rPr>
      <t xml:space="preserve">QBW </t>
    </r>
    <r>
      <rPr>
        <sz val="11"/>
        <color theme="1"/>
        <rFont val="Calibri"/>
        <family val="2"/>
        <scheme val="minor"/>
      </rPr>
      <t>(Querbauwerke)</t>
    </r>
  </si>
  <si>
    <r>
      <t>Bitte den Indikator Sedi</t>
    </r>
    <r>
      <rPr>
        <i/>
        <vertAlign val="subscript"/>
        <sz val="11"/>
        <color theme="5"/>
        <rFont val="Calibri"/>
        <family val="2"/>
        <scheme val="minor"/>
      </rPr>
      <t>QBW</t>
    </r>
    <r>
      <rPr>
        <i/>
        <sz val="11"/>
        <color theme="5"/>
        <rFont val="Calibri"/>
        <family val="2"/>
        <scheme val="minor"/>
      </rPr>
      <t xml:space="preserve"> bewerten.</t>
    </r>
  </si>
  <si>
    <r>
      <t>Bitte Indikator Sedi</t>
    </r>
    <r>
      <rPr>
        <i/>
        <vertAlign val="subscript"/>
        <sz val="11"/>
        <color theme="5"/>
        <rFont val="Calibri"/>
        <family val="2"/>
        <scheme val="minor"/>
      </rPr>
      <t xml:space="preserve">Quelle </t>
    </r>
    <r>
      <rPr>
        <i/>
        <sz val="11"/>
        <color theme="5"/>
        <rFont val="Calibri"/>
        <family val="2"/>
        <scheme val="minor"/>
      </rPr>
      <t xml:space="preserve">bewerten. Dafür den Uferzustand der Gestruk Abschnitte oberstrom der Maßnahme in die Tabelle eintragen. Ab dem unteren Ende des Maßnahmenpolygons muss folgende Gewässerlänge [m] betrachtet werden: </t>
    </r>
  </si>
  <si>
    <r>
      <t>Bewertung 
Sedi</t>
    </r>
    <r>
      <rPr>
        <vertAlign val="subscript"/>
        <sz val="11"/>
        <color theme="1"/>
        <rFont val="Calibri"/>
        <family val="2"/>
        <scheme val="minor"/>
      </rPr>
      <t>Quelle</t>
    </r>
    <r>
      <rPr>
        <sz val="11"/>
        <color theme="1"/>
        <rFont val="Calibri"/>
        <family val="2"/>
        <scheme val="minor"/>
      </rPr>
      <t xml:space="preserve"> </t>
    </r>
    <r>
      <rPr>
        <b/>
        <sz val="11"/>
        <color theme="1"/>
        <rFont val="Calibri"/>
        <family val="2"/>
        <scheme val="minor"/>
      </rPr>
      <t>ohne</t>
    </r>
    <r>
      <rPr>
        <sz val="11"/>
        <color theme="1"/>
        <rFont val="Calibri"/>
        <family val="2"/>
        <scheme val="minor"/>
      </rPr>
      <t xml:space="preserve"> Bonus</t>
    </r>
  </si>
  <si>
    <r>
      <t>Bewertung Sedi</t>
    </r>
    <r>
      <rPr>
        <vertAlign val="subscript"/>
        <sz val="11"/>
        <color theme="1"/>
        <rFont val="Calibri"/>
        <family val="2"/>
        <scheme val="minor"/>
      </rPr>
      <t xml:space="preserve">QBW  </t>
    </r>
  </si>
  <si>
    <r>
      <t>Bewertung 
Sedi</t>
    </r>
    <r>
      <rPr>
        <vertAlign val="subscript"/>
        <sz val="11"/>
        <color theme="1"/>
        <rFont val="Calibri"/>
        <family val="2"/>
        <scheme val="minor"/>
      </rPr>
      <t>Quelle</t>
    </r>
    <r>
      <rPr>
        <sz val="11"/>
        <color theme="1"/>
        <rFont val="Calibri"/>
        <family val="2"/>
        <scheme val="minor"/>
      </rPr>
      <t xml:space="preserve"> </t>
    </r>
    <r>
      <rPr>
        <b/>
        <sz val="11"/>
        <color theme="1"/>
        <rFont val="Calibri"/>
        <family val="2"/>
        <scheme val="minor"/>
      </rPr>
      <t>mit</t>
    </r>
    <r>
      <rPr>
        <sz val="11"/>
        <color theme="1"/>
        <rFont val="Calibri"/>
        <family val="2"/>
        <scheme val="minor"/>
      </rPr>
      <t xml:space="preserve"> Bonus
</t>
    </r>
  </si>
  <si>
    <t xml:space="preserve">Kosten/km </t>
  </si>
  <si>
    <t>Übersicht Kostenschwellenwerte</t>
  </si>
  <si>
    <t>Lage</t>
  </si>
  <si>
    <t>Maßnahmenumfang</t>
  </si>
  <si>
    <t>innerorts und außerorts</t>
  </si>
  <si>
    <t>75 % Perzentil + 10%</t>
  </si>
  <si>
    <t>90 % Perzentil + 10%</t>
  </si>
  <si>
    <r>
      <rPr>
        <b/>
        <sz val="11"/>
        <color theme="1"/>
        <rFont val="Calibri"/>
        <family val="2"/>
        <scheme val="minor"/>
      </rPr>
      <t>c. Regelmäßige Veranstaltungen zu Gewässerthemen:</t>
    </r>
    <r>
      <rPr>
        <sz val="11"/>
        <color theme="1"/>
        <rFont val="Calibri"/>
        <family val="2"/>
        <scheme val="minor"/>
      </rPr>
      <t xml:space="preserve">
Es werden regelmäßig Veranstaltungen zu gewässerökologischen Themen im Bereich der Revitalisierung durchgeführt bspw. Durch lokale Untergliederungen von Umweltverbänden oder durch Umweltzentren, Ökomobile, Gewässerführer:innen usw..
Liegen keine Informationen zu geplanten Veranstaltungen vor, wird geprüft, ob sich das Maßnahmenpolygon in einer maximalen Entfernung von 10 km zum Standort dem:der nächsten Gewässerführer:in befindet, sodass hier potentiell Führungen stattfinden können. Die Standorte der Gewässerführer:innen sind in Anlage 2 der Kurzanleitung gelistet.  </t>
    </r>
  </si>
  <si>
    <r>
      <rPr>
        <b/>
        <sz val="11"/>
        <color theme="1"/>
        <rFont val="Calibri"/>
        <family val="2"/>
        <scheme val="minor"/>
      </rPr>
      <t>Bewertung des Bonus Sedi</t>
    </r>
    <r>
      <rPr>
        <b/>
        <vertAlign val="subscript"/>
        <sz val="11"/>
        <color theme="1"/>
        <rFont val="Calibri"/>
        <family val="2"/>
        <scheme val="minor"/>
      </rPr>
      <t>Quelle</t>
    </r>
    <r>
      <rPr>
        <b/>
        <sz val="11"/>
        <color theme="1"/>
        <rFont val="Calibri"/>
        <family val="2"/>
        <scheme val="minor"/>
      </rPr>
      <t>:</t>
    </r>
    <r>
      <rPr>
        <sz val="11"/>
        <color theme="1"/>
        <rFont val="Calibri"/>
        <family val="2"/>
        <scheme val="minor"/>
      </rPr>
      <t xml:space="preserve">
Es wird ein Bonus von einer ÖSL-Bewertungsklasse bei der Anlage von einem oder mehreren Kiesdepots vergeben. Hierbei ist zu beachten, dass eine Kieszugabe unter Berücksichtigung der lokalen natürlichen Ausprägung des Gewässers erfolgen sollte. Bei den Fließgewässertypen Typ 11 und 12 (organisch geprägte Bäche und Flüsse) ist dies fachlich nicht sinnvoll (kein Bonus)</t>
    </r>
  </si>
  <si>
    <t>: optional auszufüllen</t>
  </si>
  <si>
    <t xml:space="preserve">Attraktive Sitzgelegenheiten am Ufer zum Verweilen und 
schmaler Uferstreifen der zum Sitzen im Gras oder auf Kiesflächen einlädt </t>
  </si>
  <si>
    <t>3 von 3: Füße im Wasser abkühlen, Bootsfahren und Angeln möglich</t>
  </si>
  <si>
    <t>a Gewässerökologische Lehrtafel</t>
  </si>
  <si>
    <r>
      <rPr>
        <b/>
        <sz val="11"/>
        <color theme="1"/>
        <rFont val="Calibri"/>
        <family val="2"/>
        <scheme val="minor"/>
      </rPr>
      <t>Bewertung des Bonus HW</t>
    </r>
    <r>
      <rPr>
        <b/>
        <vertAlign val="subscript"/>
        <sz val="11"/>
        <color theme="1"/>
        <rFont val="Calibri"/>
        <family val="2"/>
        <scheme val="minor"/>
      </rPr>
      <t>Rück</t>
    </r>
    <r>
      <rPr>
        <b/>
        <sz val="11"/>
        <color theme="1"/>
        <rFont val="Calibri"/>
        <family val="2"/>
        <scheme val="minor"/>
      </rPr>
      <t>:</t>
    </r>
    <r>
      <rPr>
        <sz val="11"/>
        <color theme="1"/>
        <rFont val="Calibri"/>
        <family val="2"/>
        <scheme val="minor"/>
      </rPr>
      <t xml:space="preserve">
Es wird ein Bonus von 2 ÖSL-Bewertungsklassen gewährt, wenn durch eine verringerte Überflutungsfläche bis zu einem HQ</t>
    </r>
    <r>
      <rPr>
        <vertAlign val="subscript"/>
        <sz val="11"/>
        <color theme="1"/>
        <rFont val="Calibri"/>
        <family val="2"/>
        <scheme val="minor"/>
      </rPr>
      <t>100</t>
    </r>
    <r>
      <rPr>
        <sz val="11"/>
        <color theme="1"/>
        <rFont val="Calibri"/>
        <family val="2"/>
        <scheme val="minor"/>
      </rPr>
      <t xml:space="preserve"> nachweislich eine Verbesserung des Schutzgrades von Schutzgütern nach der Hochwasserrisikomanagement- Richtlinie erzielt wird. Dabei sind die folgenden Schutzgüter, in der Hochwasserrisikokarte als Landnutzungen beschrieben,  zu betrachten: „Siedlung“, „Industrie und Gewerbe“ und „Verkehr“. </t>
    </r>
  </si>
  <si>
    <r>
      <t>Geringes Rückhaltevolumen: 
Die Fläche der rezenten Aue (HQ</t>
    </r>
    <r>
      <rPr>
        <vertAlign val="subscript"/>
        <sz val="11"/>
        <color theme="1"/>
        <rFont val="Calibri"/>
        <family val="2"/>
        <scheme val="minor"/>
      </rPr>
      <t>100</t>
    </r>
    <r>
      <rPr>
        <sz val="11"/>
        <color theme="1"/>
        <rFont val="Calibri"/>
        <family val="2"/>
        <scheme val="minor"/>
      </rPr>
      <t>) entspricht weniger als 25 % der Fläche der morphologischen Aue (Gewässerlandschaften).</t>
    </r>
  </si>
  <si>
    <r>
      <t>Mittleres Rückhaltevolumen: 
Die Fläche der rezenten Aue (HQ</t>
    </r>
    <r>
      <rPr>
        <vertAlign val="subscript"/>
        <sz val="11"/>
        <color theme="1"/>
        <rFont val="Calibri"/>
        <family val="2"/>
        <scheme val="minor"/>
      </rPr>
      <t>100</t>
    </r>
    <r>
      <rPr>
        <sz val="11"/>
        <color theme="1"/>
        <rFont val="Calibri"/>
        <family val="2"/>
        <scheme val="minor"/>
      </rPr>
      <t>) entspricht 25 % - 75 % der Fläche der morphologischen Aue (Gewässerlandschaften).</t>
    </r>
  </si>
  <si>
    <r>
      <t>Großes Rückhaltevolumen: 
Die Fläche der rezenten Aue (HQ</t>
    </r>
    <r>
      <rPr>
        <vertAlign val="subscript"/>
        <sz val="11"/>
        <color theme="1"/>
        <rFont val="Calibri"/>
        <family val="2"/>
        <scheme val="minor"/>
      </rPr>
      <t>100</t>
    </r>
    <r>
      <rPr>
        <sz val="11"/>
        <color theme="1"/>
        <rFont val="Calibri"/>
        <family val="2"/>
        <scheme val="minor"/>
      </rPr>
      <t>) entspricht mehr als 75 % der Fläche der morphologischen Aue (Gewässerlandschaften).</t>
    </r>
  </si>
  <si>
    <t>Gewässer, Wald, Gehölz, Auengewässer, See, 
Feuchtgebiet und nicht auengebundene nach §30-BNatSchG, §33 NatSchG oder §30a LWaldG geschützte Biotope inklusive FFH-Mähwiesen</t>
  </si>
  <si>
    <t>Auengebundene nach §30 BNatSchG, §33 NatSchG oder §30a LWaldG geschützte Biotope inkl. natürliche und naturnahe Gewässer</t>
  </si>
  <si>
    <r>
      <rPr>
        <b/>
        <sz val="11"/>
        <color theme="1"/>
        <rFont val="Calibri"/>
        <family val="2"/>
        <scheme val="minor"/>
      </rPr>
      <t>a. Eine gewässerökologische Lehrtafel:</t>
    </r>
    <r>
      <rPr>
        <sz val="11"/>
        <color theme="1"/>
        <rFont val="Calibri"/>
        <family val="2"/>
        <scheme val="minor"/>
      </rPr>
      <t xml:space="preserve">
Im Maßnahmenpolygon ist eine Lehrtafel vorhanden bzw. geplant, die einen Aspekt der Revitalisierung oder der wasserabhängigen Lebensräume behandelt. Hierzu gehören auch Schilder des Blauen Guts. Kleine Schilder ohne spezifische Lehrinhalte beispielsweise mit Angaben zur Finanzierung werden nicht gewertet.</t>
    </r>
  </si>
  <si>
    <t>Maßnahme Landesstudie GÖ</t>
  </si>
  <si>
    <t>Summe der ÖSL-Klassen</t>
  </si>
  <si>
    <t>Keine oder nur äußerst kleine Biotope (&lt; 3% der Maßnahmenfläche) im Maßnahmenpolygon vorhanden</t>
  </si>
  <si>
    <t>Maßnahme hat gute Wertschöpfung, wenn sich mind. 4 aus 10 ÖSL verbessern und in der Summe mind. 6 ÖSL-Klassen verbessert werden.*</t>
  </si>
  <si>
    <t>Maßnahme hat gute Wertschöpfung, wenn sich 8 aus 10 ÖSL in der Summe um mind. 16 ÖSL-Klassen verbessern.*</t>
  </si>
  <si>
    <t>*Bei Maßnahmen mit 30 oder mehr ÖSL-Klassen im IST-Zustand erfolgt eine geringfügige Relativierung an die Anforderungen der ÖSL-Verbesserungen. Hierzu werden die zu verbessernden ÖSL-Klassen pauschal um eins gemindert.</t>
  </si>
  <si>
    <t>Maßnahme hat gute Wertschöpfung, wenn sich mind. 6 aus 10 ÖSL verbessern und in der Summe mind. 10 ÖSL-Klassen verbessert werden.*</t>
  </si>
  <si>
    <t>beidseitig</t>
  </si>
  <si>
    <t>Summe der Abschnittslängen oberstrom</t>
  </si>
  <si>
    <t xml:space="preserve">Unmittelbar neben lauter Lärmquelle (Autobahn, stark befahrene Landstraße, Einflugschneise in &lt; 250 m Entfernung) oder störender Geruch (Kläranlage, Mülldeponie, Abgase) </t>
  </si>
  <si>
    <t>Feinabschnitts ID GeStruk:</t>
  </si>
  <si>
    <t>Kommune/Zweckverband</t>
  </si>
  <si>
    <t>Schmaler Weg zum Gewässer gegeben, aber keine 
Aufenthaltsmöglichkeiten vorhanden oder Aufenthaltsmöglichkeiten vorhanden, aber nur in Bereichen mit saisonalem Betretungsverbot</t>
  </si>
  <si>
    <t>z.B. Herrichten, Erschließung, Ausgleichsabgaben, 
Geländearbeiten, Entsorgung und Deponie des Aushubs, Baukonstruktionen, Bepflanzungen, Baunebenkosten</t>
  </si>
  <si>
    <t>Sohlrampe, Sohlgleite, Sohlschwelle, Absturz</t>
  </si>
  <si>
    <t>Talsperre, HRB im Dauerstau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</si>
</sst>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quot;_-;\-* #,##0\ &quot;€&quot;_-;_-* &quot;-&quot;\ &quot;€&quot;_-;_-@_-"/>
    <numFmt numFmtId="44" formatCode="_-* #,##0.00\ &quot;€&quot;_-;\-* #,##0.00\ &quot;€&quot;_-;_-* &quot;-&quot;??\ &quot;€&quot;_-;_-@_-"/>
    <numFmt numFmtId="43" formatCode="_-* #,##0.00_-;\-* #,##0.00_-;_-* &quot;-&quot;??_-;_-@_-"/>
    <numFmt numFmtId="164" formatCode="0.0"/>
    <numFmt numFmtId="165" formatCode="#,##0.00\ &quot;€&quot;"/>
  </numFmts>
  <fonts count="28">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1"/>
      <color rgb="FF000000"/>
      <name val="Calibri"/>
      <family val="2"/>
      <scheme val="minor"/>
    </font>
    <font>
      <i/>
      <sz val="11"/>
      <color theme="5"/>
      <name val="Calibri"/>
      <family val="2"/>
      <scheme val="minor"/>
    </font>
    <font>
      <sz val="8"/>
      <color theme="1"/>
      <name val="Calibri"/>
      <family val="2"/>
      <scheme val="minor"/>
    </font>
    <font>
      <sz val="11"/>
      <color rgb="FFFF0000"/>
      <name val="Calibri"/>
      <family val="2"/>
      <scheme val="minor"/>
    </font>
    <font>
      <i/>
      <sz val="11"/>
      <color rgb="FFFF0000"/>
      <name val="Calibri"/>
      <family val="2"/>
      <scheme val="minor"/>
    </font>
    <font>
      <b/>
      <sz val="11"/>
      <color rgb="FFFF0000"/>
      <name val="Calibri"/>
      <family val="2"/>
      <scheme val="minor"/>
    </font>
    <font>
      <sz val="8"/>
      <color rgb="FFFF0000"/>
      <name val="Calibri"/>
      <family val="2"/>
      <scheme val="minor"/>
    </font>
    <font>
      <sz val="11"/>
      <name val="Calibri"/>
      <family val="2"/>
      <scheme val="minor"/>
    </font>
    <font>
      <sz val="10"/>
      <color theme="1"/>
      <name val="Arial Unicode MS"/>
    </font>
    <font>
      <sz val="11"/>
      <color theme="0"/>
      <name val="Calibri"/>
      <family val="2"/>
      <scheme val="minor"/>
    </font>
    <font>
      <sz val="11"/>
      <color theme="5"/>
      <name val="Calibri"/>
      <family val="2"/>
      <scheme val="minor"/>
    </font>
    <font>
      <b/>
      <sz val="14"/>
      <name val="Calibri"/>
      <family val="2"/>
      <scheme val="minor"/>
    </font>
    <font>
      <b/>
      <sz val="11"/>
      <name val="Calibri"/>
      <family val="2"/>
      <scheme val="minor"/>
    </font>
    <font>
      <b/>
      <sz val="12"/>
      <color theme="1"/>
      <name val="Calibri"/>
      <family val="2"/>
      <scheme val="minor"/>
    </font>
    <font>
      <b/>
      <sz val="18"/>
      <color theme="1"/>
      <name val="Calibri"/>
      <family val="2"/>
      <scheme val="minor"/>
    </font>
    <font>
      <sz val="11"/>
      <color theme="8" tint="0.79998168889431442"/>
      <name val="Calibri"/>
      <family val="2"/>
      <scheme val="minor"/>
    </font>
    <font>
      <sz val="8"/>
      <name val="Calibri"/>
      <family val="2"/>
      <scheme val="minor"/>
    </font>
    <font>
      <sz val="11"/>
      <color theme="1"/>
      <name val="Calibri"/>
      <family val="2"/>
      <scheme val="minor"/>
    </font>
    <font>
      <b/>
      <sz val="12"/>
      <name val="Calibri"/>
      <family val="2"/>
      <scheme val="minor"/>
    </font>
    <font>
      <sz val="10"/>
      <color theme="1"/>
      <name val="Calibri"/>
      <family val="2"/>
      <scheme val="minor"/>
    </font>
    <font>
      <b/>
      <sz val="16"/>
      <name val="Calibri"/>
      <family val="2"/>
      <scheme val="minor"/>
    </font>
    <font>
      <vertAlign val="subscript"/>
      <sz val="11"/>
      <color theme="1"/>
      <name val="Calibri"/>
      <family val="2"/>
      <scheme val="minor"/>
    </font>
    <font>
      <i/>
      <vertAlign val="subscript"/>
      <sz val="11"/>
      <color theme="5"/>
      <name val="Calibri"/>
      <family val="2"/>
      <scheme val="minor"/>
    </font>
    <font>
      <b/>
      <vertAlign val="subscript"/>
      <sz val="11"/>
      <color theme="1"/>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EE2025"/>
        <bgColor indexed="64"/>
      </patternFill>
    </fill>
    <fill>
      <patternFill patternType="solid">
        <fgColor rgb="FFFFC000"/>
        <bgColor indexed="64"/>
      </patternFill>
    </fill>
    <fill>
      <patternFill patternType="solid">
        <fgColor rgb="FF92D050"/>
        <bgColor indexed="64"/>
      </patternFill>
    </fill>
    <fill>
      <patternFill patternType="solid">
        <fgColor rgb="FF1EAE4F"/>
        <bgColor indexed="64"/>
      </patternFill>
    </fill>
    <fill>
      <patternFill patternType="solid">
        <fgColor theme="0"/>
        <bgColor indexed="64"/>
      </patternFill>
    </fill>
    <fill>
      <patternFill patternType="solid">
        <fgColor rgb="FFFF0000"/>
        <bgColor indexed="64"/>
      </patternFill>
    </fill>
    <fill>
      <patternFill patternType="solid">
        <fgColor rgb="FF00B050"/>
        <bgColor indexed="64"/>
      </patternFill>
    </fill>
    <fill>
      <patternFill patternType="solid">
        <fgColor theme="5" tint="0.59999389629810485"/>
        <bgColor indexed="64"/>
      </patternFill>
    </fill>
    <fill>
      <patternFill patternType="solid">
        <fgColor theme="7" tint="0.79998168889431442"/>
        <bgColor indexed="64"/>
      </patternFill>
    </fill>
    <fill>
      <patternFill patternType="lightDown">
        <fgColor theme="0" tint="-0.24994659260841701"/>
        <bgColor theme="0"/>
      </patternFill>
    </fill>
    <fill>
      <patternFill patternType="lightDown">
        <fgColor theme="0" tint="-0.24994659260841701"/>
        <bgColor theme="5" tint="0.59999389629810485"/>
      </patternFill>
    </fill>
    <fill>
      <patternFill patternType="lightDown">
        <fgColor theme="0" tint="-0.24994659260841701"/>
        <bgColor theme="7" tint="0.79998168889431442"/>
      </patternFill>
    </fill>
    <fill>
      <patternFill patternType="lightDown">
        <fgColor theme="0" tint="-0.24994659260841701"/>
        <bgColor indexed="65"/>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4" tint="0.79995117038483843"/>
        <bgColor theme="5" tint="-0.24994659260841701"/>
      </patternFill>
    </fill>
  </fills>
  <borders count="8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bottom style="thin">
        <color indexed="64"/>
      </bottom>
      <diagonal/>
    </border>
    <border>
      <left style="thin">
        <color theme="0" tint="-0.34998626667073579"/>
      </left>
      <right style="thin">
        <color theme="0" tint="-0.34998626667073579"/>
      </right>
      <top style="thin">
        <color theme="2"/>
      </top>
      <bottom/>
      <diagonal/>
    </border>
    <border>
      <left style="thin">
        <color theme="0" tint="-0.34998626667073579"/>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theme="0" tint="-4.9989318521683403E-2"/>
      </left>
      <right/>
      <top/>
      <bottom/>
      <diagonal/>
    </border>
    <border>
      <left style="thin">
        <color indexed="64"/>
      </left>
      <right style="thin">
        <color indexed="64"/>
      </right>
      <top/>
      <bottom style="thick">
        <color theme="0" tint="-4.9989318521683403E-2"/>
      </bottom>
      <diagonal/>
    </border>
    <border>
      <left style="thin">
        <color indexed="64"/>
      </left>
      <right style="thin">
        <color indexed="64"/>
      </right>
      <top style="thick">
        <color theme="0" tint="-4.9989318521683403E-2"/>
      </top>
      <bottom style="thick">
        <color theme="0" tint="-4.9989318521683403E-2"/>
      </bottom>
      <diagonal/>
    </border>
    <border>
      <left style="thin">
        <color indexed="64"/>
      </left>
      <right style="thin">
        <color indexed="64"/>
      </right>
      <top style="thick">
        <color theme="0" tint="-4.9989318521683403E-2"/>
      </top>
      <bottom/>
      <diagonal/>
    </border>
    <border>
      <left/>
      <right style="thin">
        <color indexed="64"/>
      </right>
      <top/>
      <bottom style="thick">
        <color theme="0" tint="-4.9989318521683403E-2"/>
      </bottom>
      <diagonal/>
    </border>
    <border>
      <left/>
      <right style="thin">
        <color indexed="64"/>
      </right>
      <top style="thick">
        <color theme="0" tint="-4.9989318521683403E-2"/>
      </top>
      <bottom style="thick">
        <color theme="0" tint="-4.9989318521683403E-2"/>
      </bottom>
      <diagonal/>
    </border>
    <border>
      <left/>
      <right style="thin">
        <color indexed="64"/>
      </right>
      <top style="thick">
        <color theme="0" tint="-4.9989318521683403E-2"/>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s>
  <cellStyleXfs count="3">
    <xf numFmtId="0" fontId="0" fillId="0" borderId="0"/>
    <xf numFmtId="43" fontId="21" fillId="0" borderId="0" applyFont="0" applyFill="0" applyBorder="0" applyProtection="0">
      <alignment horizontal="left" readingOrder="1"/>
    </xf>
    <xf numFmtId="44" fontId="21" fillId="8" borderId="0" applyFont="0" applyFill="0" applyBorder="0" applyProtection="0">
      <alignment horizontal="left"/>
    </xf>
  </cellStyleXfs>
  <cellXfs count="741">
    <xf numFmtId="0" fontId="0" fillId="0" borderId="0" xfId="0"/>
    <xf numFmtId="0" fontId="0" fillId="0" borderId="10" xfId="0" applyBorder="1"/>
    <xf numFmtId="0" fontId="0" fillId="8" borderId="0" xfId="0" applyFill="1"/>
    <xf numFmtId="0" fontId="0" fillId="8" borderId="10" xfId="0" applyFill="1" applyBorder="1"/>
    <xf numFmtId="0" fontId="0" fillId="8" borderId="11" xfId="0" applyFill="1" applyBorder="1"/>
    <xf numFmtId="0" fontId="0" fillId="8" borderId="17" xfId="0" applyFill="1" applyBorder="1"/>
    <xf numFmtId="0" fontId="0" fillId="0" borderId="17" xfId="0" applyBorder="1"/>
    <xf numFmtId="0" fontId="0" fillId="8" borderId="15" xfId="0" applyFill="1" applyBorder="1"/>
    <xf numFmtId="0" fontId="1" fillId="0" borderId="0" xfId="0" applyFont="1"/>
    <xf numFmtId="0" fontId="0" fillId="8" borderId="0" xfId="0" applyFill="1" applyAlignment="1">
      <alignment horizontal="left" vertical="top" wrapText="1"/>
    </xf>
    <xf numFmtId="0" fontId="0" fillId="8" borderId="0" xfId="0" applyFill="1" applyAlignment="1">
      <alignment wrapText="1"/>
    </xf>
    <xf numFmtId="0" fontId="0" fillId="8" borderId="16" xfId="0" applyFill="1" applyBorder="1"/>
    <xf numFmtId="0" fontId="0" fillId="8" borderId="13" xfId="0" applyFill="1" applyBorder="1"/>
    <xf numFmtId="2" fontId="0" fillId="8" borderId="0" xfId="0" applyNumberFormat="1" applyFill="1"/>
    <xf numFmtId="0" fontId="0" fillId="8" borderId="14" xfId="0" applyFill="1" applyBorder="1"/>
    <xf numFmtId="0" fontId="5" fillId="8" borderId="0" xfId="0" applyFont="1" applyFill="1" applyAlignment="1">
      <alignment vertical="top" wrapText="1"/>
    </xf>
    <xf numFmtId="1" fontId="0" fillId="8" borderId="0" xfId="0" applyNumberFormat="1" applyFill="1"/>
    <xf numFmtId="0" fontId="0" fillId="8" borderId="12" xfId="0" applyFill="1" applyBorder="1"/>
    <xf numFmtId="0" fontId="3" fillId="8" borderId="16" xfId="0" applyFont="1" applyFill="1" applyBorder="1"/>
    <xf numFmtId="0" fontId="0" fillId="8" borderId="10" xfId="0" applyFill="1" applyBorder="1" applyAlignment="1">
      <alignment vertical="top" wrapText="1"/>
    </xf>
    <xf numFmtId="1" fontId="1" fillId="8" borderId="0" xfId="0" applyNumberFormat="1" applyFont="1" applyFill="1" applyAlignment="1">
      <alignment vertical="center"/>
    </xf>
    <xf numFmtId="0" fontId="0" fillId="4" borderId="20" xfId="0" applyFill="1" applyBorder="1"/>
    <xf numFmtId="0" fontId="0" fillId="5" borderId="20" xfId="0" applyFill="1" applyBorder="1"/>
    <xf numFmtId="164" fontId="0" fillId="8" borderId="0" xfId="0" applyNumberFormat="1" applyFill="1"/>
    <xf numFmtId="0" fontId="0" fillId="2" borderId="20" xfId="0" applyFill="1" applyBorder="1"/>
    <xf numFmtId="0" fontId="0" fillId="6" borderId="20" xfId="0" applyFill="1" applyBorder="1"/>
    <xf numFmtId="0" fontId="0" fillId="7" borderId="21" xfId="0" applyFill="1" applyBorder="1"/>
    <xf numFmtId="0" fontId="0" fillId="8" borderId="0" xfId="0" applyFill="1" applyAlignment="1">
      <alignment horizontal="right"/>
    </xf>
    <xf numFmtId="0" fontId="0" fillId="8" borderId="14" xfId="0" applyFill="1" applyBorder="1" applyAlignment="1">
      <alignment horizontal="center" vertical="center" wrapText="1"/>
    </xf>
    <xf numFmtId="0" fontId="1" fillId="8" borderId="0" xfId="0" applyFont="1" applyFill="1" applyAlignment="1">
      <alignment vertical="center"/>
    </xf>
    <xf numFmtId="0" fontId="3" fillId="8" borderId="0" xfId="0" applyFont="1" applyFill="1"/>
    <xf numFmtId="0" fontId="0" fillId="0" borderId="16" xfId="0" applyBorder="1"/>
    <xf numFmtId="0" fontId="1" fillId="8" borderId="0" xfId="0" applyFont="1" applyFill="1" applyAlignment="1">
      <alignment horizontal="center" vertical="center"/>
    </xf>
    <xf numFmtId="0" fontId="0" fillId="8" borderId="0" xfId="0" applyFill="1" applyAlignment="1">
      <alignment horizontal="center" vertical="center"/>
    </xf>
    <xf numFmtId="0" fontId="1" fillId="8" borderId="0" xfId="0" applyFont="1" applyFill="1"/>
    <xf numFmtId="1" fontId="0" fillId="8" borderId="0" xfId="0" applyNumberFormat="1" applyFill="1" applyAlignment="1">
      <alignment vertical="center"/>
    </xf>
    <xf numFmtId="164" fontId="1" fillId="0" borderId="0" xfId="0" applyNumberFormat="1" applyFont="1" applyAlignment="1">
      <alignment horizontal="right"/>
    </xf>
    <xf numFmtId="164" fontId="1" fillId="8" borderId="0" xfId="0" applyNumberFormat="1" applyFont="1" applyFill="1" applyAlignment="1">
      <alignment horizontal="right"/>
    </xf>
    <xf numFmtId="1" fontId="0" fillId="8" borderId="0" xfId="0" applyNumberFormat="1" applyFill="1" applyAlignment="1">
      <alignment horizontal="right"/>
    </xf>
    <xf numFmtId="0" fontId="0" fillId="4" borderId="20" xfId="0" applyFill="1" applyBorder="1" applyAlignment="1">
      <alignment horizontal="right"/>
    </xf>
    <xf numFmtId="0" fontId="0" fillId="5" borderId="20" xfId="0" applyFill="1" applyBorder="1" applyAlignment="1">
      <alignment horizontal="right"/>
    </xf>
    <xf numFmtId="0" fontId="0" fillId="2" borderId="20" xfId="0" applyFill="1" applyBorder="1" applyAlignment="1">
      <alignment horizontal="right"/>
    </xf>
    <xf numFmtId="0" fontId="0" fillId="6" borderId="20" xfId="0" applyFill="1" applyBorder="1" applyAlignment="1">
      <alignment horizontal="right"/>
    </xf>
    <xf numFmtId="0" fontId="0" fillId="7" borderId="21" xfId="0" applyFill="1" applyBorder="1" applyAlignment="1">
      <alignment horizontal="right"/>
    </xf>
    <xf numFmtId="0" fontId="4" fillId="0" borderId="0" xfId="0" applyFont="1" applyAlignment="1">
      <alignment vertical="center" wrapText="1"/>
    </xf>
    <xf numFmtId="164" fontId="13" fillId="0" borderId="0" xfId="0" applyNumberFormat="1" applyFont="1"/>
    <xf numFmtId="0" fontId="0" fillId="8" borderId="2" xfId="0" applyFill="1" applyBorder="1"/>
    <xf numFmtId="0" fontId="0" fillId="8" borderId="4" xfId="0" applyFill="1" applyBorder="1"/>
    <xf numFmtId="0" fontId="0" fillId="8" borderId="8" xfId="0" applyFill="1" applyBorder="1"/>
    <xf numFmtId="0" fontId="0" fillId="8" borderId="7" xfId="0" applyFill="1" applyBorder="1"/>
    <xf numFmtId="0" fontId="0" fillId="8" borderId="34" xfId="0" applyFill="1" applyBorder="1"/>
    <xf numFmtId="0" fontId="0" fillId="8" borderId="3" xfId="0" applyFill="1" applyBorder="1"/>
    <xf numFmtId="0" fontId="0" fillId="8" borderId="49" xfId="0" applyFill="1" applyBorder="1"/>
    <xf numFmtId="0" fontId="0" fillId="8" borderId="9" xfId="0" applyFill="1" applyBorder="1"/>
    <xf numFmtId="0" fontId="1" fillId="8" borderId="4" xfId="0" applyFont="1" applyFill="1" applyBorder="1"/>
    <xf numFmtId="0" fontId="0" fillId="11" borderId="55" xfId="0" applyFill="1" applyBorder="1" applyAlignment="1" applyProtection="1">
      <alignment horizontal="left" vertical="top"/>
      <protection locked="0"/>
    </xf>
    <xf numFmtId="0" fontId="11" fillId="11" borderId="0" xfId="0" applyFont="1" applyFill="1" applyProtection="1">
      <protection locked="0"/>
    </xf>
    <xf numFmtId="164" fontId="0" fillId="12" borderId="55" xfId="0" quotePrefix="1" applyNumberFormat="1" applyFill="1" applyBorder="1" applyAlignment="1" applyProtection="1">
      <alignment horizontal="right" vertical="top"/>
      <protection locked="0"/>
    </xf>
    <xf numFmtId="164" fontId="0" fillId="11" borderId="55" xfId="0" applyNumberFormat="1" applyFill="1" applyBorder="1" applyAlignment="1" applyProtection="1">
      <alignment horizontal="right" vertical="top"/>
      <protection locked="0"/>
    </xf>
    <xf numFmtId="164" fontId="0" fillId="11" borderId="55" xfId="0" quotePrefix="1" applyNumberFormat="1" applyFill="1" applyBorder="1" applyAlignment="1" applyProtection="1">
      <alignment horizontal="right" vertical="top"/>
      <protection locked="0"/>
    </xf>
    <xf numFmtId="164" fontId="0" fillId="11" borderId="58" xfId="0" applyNumberFormat="1" applyFill="1" applyBorder="1" applyAlignment="1" applyProtection="1">
      <alignment horizontal="right" vertical="top"/>
      <protection locked="0"/>
    </xf>
    <xf numFmtId="0" fontId="0" fillId="11" borderId="0" xfId="0" applyFill="1" applyAlignment="1" applyProtection="1">
      <alignment horizontal="left" vertical="top"/>
      <protection locked="0"/>
    </xf>
    <xf numFmtId="0" fontId="0" fillId="11" borderId="0" xfId="0" applyFill="1" applyProtection="1">
      <protection locked="0"/>
    </xf>
    <xf numFmtId="0" fontId="11" fillId="11" borderId="0" xfId="0" applyFont="1" applyFill="1" applyAlignment="1" applyProtection="1">
      <alignment horizontal="right"/>
      <protection locked="0"/>
    </xf>
    <xf numFmtId="0" fontId="0" fillId="14" borderId="55" xfId="0" applyFill="1" applyBorder="1" applyAlignment="1" applyProtection="1">
      <alignment horizontal="left" vertical="top"/>
      <protection locked="0"/>
    </xf>
    <xf numFmtId="164" fontId="0" fillId="14" borderId="55" xfId="0" applyNumberFormat="1" applyFill="1" applyBorder="1" applyAlignment="1" applyProtection="1">
      <alignment horizontal="right" vertical="top"/>
      <protection locked="0"/>
    </xf>
    <xf numFmtId="164" fontId="0" fillId="14" borderId="55" xfId="0" quotePrefix="1" applyNumberFormat="1" applyFill="1" applyBorder="1" applyAlignment="1" applyProtection="1">
      <alignment horizontal="right" vertical="top"/>
      <protection locked="0"/>
    </xf>
    <xf numFmtId="164" fontId="0" fillId="15" borderId="55" xfId="0" quotePrefix="1" applyNumberFormat="1" applyFill="1" applyBorder="1" applyAlignment="1" applyProtection="1">
      <alignment horizontal="right" vertical="top"/>
      <protection locked="0"/>
    </xf>
    <xf numFmtId="164" fontId="0" fillId="14" borderId="58" xfId="0" applyNumberFormat="1" applyFill="1" applyBorder="1" applyAlignment="1" applyProtection="1">
      <alignment horizontal="right" vertical="top"/>
      <protection locked="0"/>
    </xf>
    <xf numFmtId="0" fontId="16" fillId="8" borderId="0" xfId="0" applyFont="1" applyFill="1" applyAlignment="1">
      <alignment horizontal="left" vertical="top"/>
    </xf>
    <xf numFmtId="0" fontId="0" fillId="0" borderId="11" xfId="0" applyBorder="1"/>
    <xf numFmtId="165" fontId="0" fillId="0" borderId="11" xfId="0" applyNumberFormat="1" applyBorder="1"/>
    <xf numFmtId="165" fontId="0" fillId="0" borderId="13" xfId="0" applyNumberFormat="1" applyBorder="1"/>
    <xf numFmtId="165" fontId="0" fillId="0" borderId="10" xfId="0" applyNumberFormat="1" applyBorder="1"/>
    <xf numFmtId="165" fontId="0" fillId="0" borderId="15" xfId="0" applyNumberFormat="1" applyBorder="1"/>
    <xf numFmtId="0" fontId="1" fillId="17" borderId="39" xfId="0" applyFont="1" applyFill="1" applyBorder="1"/>
    <xf numFmtId="0" fontId="0" fillId="0" borderId="60" xfId="0" applyBorder="1" applyAlignment="1">
      <alignment wrapText="1"/>
    </xf>
    <xf numFmtId="165" fontId="0" fillId="0" borderId="60" xfId="0" applyNumberFormat="1" applyBorder="1"/>
    <xf numFmtId="165" fontId="0" fillId="0" borderId="61" xfId="0" applyNumberFormat="1" applyBorder="1"/>
    <xf numFmtId="0" fontId="0" fillId="17" borderId="60" xfId="0" applyFill="1" applyBorder="1"/>
    <xf numFmtId="0" fontId="1" fillId="17" borderId="60" xfId="0" applyFont="1" applyFill="1" applyBorder="1"/>
    <xf numFmtId="0" fontId="1" fillId="17" borderId="61" xfId="0" applyFont="1" applyFill="1" applyBorder="1"/>
    <xf numFmtId="0" fontId="1" fillId="0" borderId="12" xfId="0" applyFont="1" applyBorder="1"/>
    <xf numFmtId="0" fontId="0" fillId="0" borderId="13" xfId="0" applyBorder="1"/>
    <xf numFmtId="0" fontId="0" fillId="0" borderId="14" xfId="0" applyBorder="1"/>
    <xf numFmtId="0" fontId="0" fillId="0" borderId="15" xfId="0" applyBorder="1"/>
    <xf numFmtId="0" fontId="1" fillId="0" borderId="16" xfId="0" applyFont="1" applyBorder="1"/>
    <xf numFmtId="0" fontId="1" fillId="8" borderId="0" xfId="0" applyFont="1" applyFill="1" applyAlignment="1">
      <alignment horizontal="left"/>
    </xf>
    <xf numFmtId="0" fontId="0" fillId="18" borderId="0" xfId="0" applyFill="1"/>
    <xf numFmtId="0" fontId="0" fillId="9" borderId="0" xfId="0" applyFill="1"/>
    <xf numFmtId="0" fontId="2" fillId="8" borderId="16" xfId="0" applyFont="1" applyFill="1" applyBorder="1" applyAlignment="1">
      <alignment horizontal="left" vertical="top" wrapText="1"/>
    </xf>
    <xf numFmtId="0" fontId="2" fillId="8" borderId="0" xfId="0" applyFont="1" applyFill="1" applyAlignment="1">
      <alignment horizontal="left" vertical="top" wrapText="1"/>
    </xf>
    <xf numFmtId="0" fontId="0" fillId="8" borderId="0" xfId="0" applyFill="1" applyAlignment="1">
      <alignment horizontal="center"/>
    </xf>
    <xf numFmtId="0" fontId="1" fillId="8" borderId="0" xfId="0" applyFont="1" applyFill="1" applyAlignment="1">
      <alignment horizontal="left" vertical="top" wrapText="1"/>
    </xf>
    <xf numFmtId="0" fontId="11" fillId="8" borderId="0" xfId="0" applyFont="1" applyFill="1" applyAlignment="1">
      <alignment horizontal="left" vertical="top"/>
    </xf>
    <xf numFmtId="0" fontId="11" fillId="8" borderId="34" xfId="0" applyFont="1" applyFill="1" applyBorder="1" applyAlignment="1">
      <alignment horizontal="right" vertical="top"/>
    </xf>
    <xf numFmtId="0" fontId="11" fillId="8" borderId="34" xfId="0" applyFont="1" applyFill="1" applyBorder="1"/>
    <xf numFmtId="0" fontId="11" fillId="8" borderId="34" xfId="0" applyFont="1" applyFill="1" applyBorder="1" applyAlignment="1">
      <alignment horizontal="left" vertical="top"/>
    </xf>
    <xf numFmtId="0" fontId="11" fillId="8" borderId="3" xfId="0" applyFont="1" applyFill="1" applyBorder="1"/>
    <xf numFmtId="0" fontId="15" fillId="8" borderId="0" xfId="0" applyFont="1" applyFill="1" applyAlignment="1">
      <alignment horizontal="left" vertical="top"/>
    </xf>
    <xf numFmtId="0" fontId="11" fillId="8" borderId="0" xfId="0" applyFont="1" applyFill="1" applyAlignment="1">
      <alignment horizontal="right" vertical="top"/>
    </xf>
    <xf numFmtId="0" fontId="11" fillId="8" borderId="0" xfId="0" applyFont="1" applyFill="1"/>
    <xf numFmtId="0" fontId="11" fillId="8" borderId="7" xfId="0" applyFont="1" applyFill="1" applyBorder="1"/>
    <xf numFmtId="0" fontId="0" fillId="8" borderId="39" xfId="0" applyFill="1" applyBorder="1"/>
    <xf numFmtId="0" fontId="22" fillId="8" borderId="60" xfId="0" applyFont="1" applyFill="1" applyBorder="1" applyAlignment="1">
      <alignment horizontal="left" vertical="top"/>
    </xf>
    <xf numFmtId="0" fontId="15" fillId="8" borderId="60" xfId="0" applyFont="1" applyFill="1" applyBorder="1" applyAlignment="1">
      <alignment horizontal="left" vertical="top"/>
    </xf>
    <xf numFmtId="0" fontId="11" fillId="8" borderId="60" xfId="0" applyFont="1" applyFill="1" applyBorder="1" applyAlignment="1">
      <alignment horizontal="left" vertical="top"/>
    </xf>
    <xf numFmtId="0" fontId="11" fillId="8" borderId="60" xfId="0" applyFont="1" applyFill="1" applyBorder="1" applyAlignment="1">
      <alignment horizontal="right" vertical="top"/>
    </xf>
    <xf numFmtId="0" fontId="11" fillId="8" borderId="60" xfId="0" applyFont="1" applyFill="1" applyBorder="1"/>
    <xf numFmtId="0" fontId="11" fillId="8" borderId="45" xfId="0" applyFont="1" applyFill="1" applyBorder="1"/>
    <xf numFmtId="0" fontId="0" fillId="11" borderId="0" xfId="0" applyFill="1" applyAlignment="1">
      <alignment horizontal="left" vertical="top"/>
    </xf>
    <xf numFmtId="0" fontId="0" fillId="8" borderId="0" xfId="0" applyFill="1" applyAlignment="1">
      <alignment horizontal="left" vertical="top"/>
    </xf>
    <xf numFmtId="0" fontId="0" fillId="0" borderId="0" xfId="0" applyAlignment="1">
      <alignment horizontal="left" vertical="top"/>
    </xf>
    <xf numFmtId="164" fontId="19" fillId="0" borderId="0" xfId="0" quotePrefix="1" applyNumberFormat="1" applyFont="1" applyAlignment="1">
      <alignment horizontal="right" vertical="top"/>
    </xf>
    <xf numFmtId="0" fontId="16" fillId="8" borderId="0" xfId="0" applyFont="1" applyFill="1"/>
    <xf numFmtId="0" fontId="16" fillId="8" borderId="0" xfId="0" applyFont="1" applyFill="1" applyAlignment="1">
      <alignment horizontal="left"/>
    </xf>
    <xf numFmtId="0" fontId="1" fillId="8" borderId="0" xfId="0" applyFont="1" applyFill="1" applyAlignment="1">
      <alignment vertical="top"/>
    </xf>
    <xf numFmtId="0" fontId="0" fillId="8" borderId="0" xfId="0" applyFill="1" applyAlignment="1">
      <alignment vertical="top"/>
    </xf>
    <xf numFmtId="0" fontId="0" fillId="8" borderId="0" xfId="0" applyFill="1" applyAlignment="1">
      <alignment horizontal="right" vertical="top"/>
    </xf>
    <xf numFmtId="0" fontId="16" fillId="8" borderId="7" xfId="0" applyFont="1" applyFill="1" applyBorder="1" applyAlignment="1">
      <alignment horizontal="left"/>
    </xf>
    <xf numFmtId="0" fontId="16" fillId="8" borderId="0" xfId="0" applyFont="1" applyFill="1" applyAlignment="1">
      <alignment vertical="top"/>
    </xf>
    <xf numFmtId="0" fontId="0" fillId="8" borderId="60" xfId="0" applyFill="1" applyBorder="1" applyAlignment="1">
      <alignment horizontal="left" vertical="top"/>
    </xf>
    <xf numFmtId="0" fontId="1" fillId="8" borderId="0" xfId="0" applyFont="1" applyFill="1" applyAlignment="1">
      <alignment horizontal="left" vertical="top"/>
    </xf>
    <xf numFmtId="0" fontId="23" fillId="8" borderId="0" xfId="0" applyFont="1" applyFill="1" applyAlignment="1">
      <alignment horizontal="left" vertical="top"/>
    </xf>
    <xf numFmtId="0" fontId="23" fillId="8" borderId="0" xfId="0" applyFont="1" applyFill="1"/>
    <xf numFmtId="0" fontId="11" fillId="8" borderId="55" xfId="0" applyFont="1" applyFill="1" applyBorder="1" applyAlignment="1">
      <alignment horizontal="right" vertical="top"/>
    </xf>
    <xf numFmtId="0" fontId="2" fillId="8" borderId="0" xfId="0" applyFont="1" applyFill="1"/>
    <xf numFmtId="0" fontId="2" fillId="8" borderId="55" xfId="0" applyFont="1" applyFill="1" applyBorder="1"/>
    <xf numFmtId="0" fontId="0" fillId="8" borderId="55" xfId="0" applyFill="1" applyBorder="1" applyAlignment="1">
      <alignment horizontal="right" vertical="top"/>
    </xf>
    <xf numFmtId="0" fontId="0" fillId="8" borderId="4" xfId="0" applyFill="1" applyBorder="1" applyAlignment="1">
      <alignment horizontal="left" vertical="top"/>
    </xf>
    <xf numFmtId="0" fontId="0" fillId="8" borderId="7" xfId="0" applyFill="1" applyBorder="1" applyAlignment="1">
      <alignment horizontal="right" vertical="top"/>
    </xf>
    <xf numFmtId="164" fontId="19" fillId="12" borderId="0" xfId="0" quotePrefix="1" applyNumberFormat="1" applyFont="1" applyFill="1" applyAlignment="1">
      <alignment horizontal="right" vertical="top"/>
    </xf>
    <xf numFmtId="0" fontId="1" fillId="8" borderId="55" xfId="0" applyFont="1" applyFill="1" applyBorder="1" applyAlignment="1">
      <alignment horizontal="left" vertical="top"/>
    </xf>
    <xf numFmtId="0" fontId="1" fillId="8" borderId="12" xfId="0" applyFont="1" applyFill="1" applyBorder="1" applyAlignment="1">
      <alignment horizontal="left" vertical="top"/>
    </xf>
    <xf numFmtId="0" fontId="1" fillId="8" borderId="11" xfId="0" applyFont="1" applyFill="1" applyBorder="1" applyAlignment="1">
      <alignment horizontal="left" vertical="top"/>
    </xf>
    <xf numFmtId="0" fontId="1" fillId="8" borderId="56" xfId="0" applyFont="1" applyFill="1" applyBorder="1" applyAlignment="1">
      <alignment horizontal="right" vertical="top"/>
    </xf>
    <xf numFmtId="0" fontId="1" fillId="8" borderId="53" xfId="0" applyFont="1" applyFill="1" applyBorder="1" applyAlignment="1">
      <alignment horizontal="left" vertical="top"/>
    </xf>
    <xf numFmtId="0" fontId="1" fillId="8" borderId="6" xfId="0" applyFont="1" applyFill="1" applyBorder="1" applyAlignment="1">
      <alignment horizontal="right" vertical="top"/>
    </xf>
    <xf numFmtId="0" fontId="0" fillId="0" borderId="16" xfId="0" applyBorder="1" applyAlignment="1">
      <alignment horizontal="left" vertical="top"/>
    </xf>
    <xf numFmtId="164" fontId="0" fillId="8" borderId="7" xfId="0" applyNumberFormat="1" applyFill="1" applyBorder="1" applyAlignment="1">
      <alignment horizontal="right" vertical="top"/>
    </xf>
    <xf numFmtId="164" fontId="0" fillId="8" borderId="16" xfId="0" applyNumberFormat="1" applyFill="1" applyBorder="1" applyAlignment="1">
      <alignment vertical="top"/>
    </xf>
    <xf numFmtId="164" fontId="0" fillId="8" borderId="55" xfId="0" applyNumberFormat="1" applyFill="1" applyBorder="1" applyAlignment="1">
      <alignment horizontal="right" vertical="top"/>
    </xf>
    <xf numFmtId="164" fontId="0" fillId="8" borderId="7" xfId="0" quotePrefix="1" applyNumberFormat="1" applyFill="1" applyBorder="1" applyAlignment="1">
      <alignment horizontal="right" vertical="top"/>
    </xf>
    <xf numFmtId="164" fontId="0" fillId="8" borderId="16" xfId="0" applyNumberFormat="1" applyFill="1" applyBorder="1" applyAlignment="1">
      <alignment horizontal="left" vertical="top"/>
    </xf>
    <xf numFmtId="164" fontId="0" fillId="8" borderId="55" xfId="0" quotePrefix="1" applyNumberFormat="1" applyFill="1" applyBorder="1" applyAlignment="1">
      <alignment horizontal="right" vertical="top"/>
    </xf>
    <xf numFmtId="0" fontId="17" fillId="8" borderId="10" xfId="0" applyFont="1" applyFill="1" applyBorder="1" applyAlignment="1">
      <alignment horizontal="left" vertical="top"/>
    </xf>
    <xf numFmtId="164" fontId="17" fillId="8" borderId="57" xfId="0" applyNumberFormat="1" applyFont="1" applyFill="1" applyBorder="1" applyAlignment="1">
      <alignment vertical="top"/>
    </xf>
    <xf numFmtId="0" fontId="17" fillId="8" borderId="22" xfId="0" applyFont="1" applyFill="1" applyBorder="1" applyAlignment="1">
      <alignment horizontal="left" vertical="top"/>
    </xf>
    <xf numFmtId="0" fontId="0" fillId="8" borderId="10" xfId="0" applyFill="1" applyBorder="1" applyAlignment="1">
      <alignment horizontal="left" vertical="top"/>
    </xf>
    <xf numFmtId="164" fontId="17" fillId="8" borderId="5" xfId="0" applyNumberFormat="1" applyFont="1" applyFill="1" applyBorder="1" applyAlignment="1">
      <alignment horizontal="right" vertical="top"/>
    </xf>
    <xf numFmtId="164" fontId="0" fillId="8" borderId="11" xfId="0" applyNumberFormat="1" applyFill="1" applyBorder="1" applyAlignment="1">
      <alignment horizontal="left" vertical="top"/>
    </xf>
    <xf numFmtId="0" fontId="0" fillId="8" borderId="11" xfId="0" applyFill="1" applyBorder="1" applyAlignment="1">
      <alignment horizontal="left" vertical="top"/>
    </xf>
    <xf numFmtId="164" fontId="0" fillId="8" borderId="56" xfId="0" quotePrefix="1" applyNumberFormat="1" applyFill="1" applyBorder="1" applyAlignment="1">
      <alignment horizontal="right" vertical="top"/>
    </xf>
    <xf numFmtId="0" fontId="0" fillId="8" borderId="53" xfId="0" applyFill="1" applyBorder="1" applyAlignment="1">
      <alignment horizontal="left" vertical="top"/>
    </xf>
    <xf numFmtId="164" fontId="0" fillId="8" borderId="6" xfId="0" quotePrefix="1" applyNumberFormat="1" applyFill="1" applyBorder="1" applyAlignment="1">
      <alignment horizontal="right" vertical="top"/>
    </xf>
    <xf numFmtId="0" fontId="12" fillId="0" borderId="7" xfId="0" applyFont="1" applyBorder="1" applyAlignment="1">
      <alignment vertical="center"/>
    </xf>
    <xf numFmtId="164" fontId="0" fillId="8" borderId="0" xfId="0" applyNumberFormat="1" applyFill="1" applyAlignment="1">
      <alignment vertical="top"/>
    </xf>
    <xf numFmtId="0" fontId="12" fillId="0" borderId="0" xfId="0" applyFont="1" applyAlignment="1">
      <alignment vertical="center"/>
    </xf>
    <xf numFmtId="164" fontId="12" fillId="0" borderId="7" xfId="0" applyNumberFormat="1" applyFont="1" applyBorder="1" applyAlignment="1">
      <alignment vertical="center"/>
    </xf>
    <xf numFmtId="0" fontId="12" fillId="8" borderId="7" xfId="0" applyFont="1" applyFill="1" applyBorder="1" applyAlignment="1">
      <alignment vertical="center"/>
    </xf>
    <xf numFmtId="0" fontId="0" fillId="8" borderId="55" xfId="0" applyFill="1" applyBorder="1" applyAlignment="1">
      <alignment horizontal="left" vertical="top"/>
    </xf>
    <xf numFmtId="164" fontId="0" fillId="0" borderId="0" xfId="0" applyNumberFormat="1"/>
    <xf numFmtId="0" fontId="12" fillId="0" borderId="55" xfId="0" applyFont="1" applyBorder="1" applyAlignment="1">
      <alignment vertical="center"/>
    </xf>
    <xf numFmtId="0" fontId="0" fillId="8" borderId="4" xfId="0" applyFill="1" applyBorder="1" applyAlignment="1">
      <alignment horizontal="left" vertical="top" wrapText="1"/>
    </xf>
    <xf numFmtId="164" fontId="0" fillId="8" borderId="0" xfId="0" applyNumberFormat="1" applyFill="1" applyAlignment="1">
      <alignment horizontal="left" vertical="top"/>
    </xf>
    <xf numFmtId="164" fontId="0" fillId="8" borderId="10" xfId="0" applyNumberFormat="1" applyFill="1" applyBorder="1" applyAlignment="1">
      <alignment horizontal="left" vertical="top"/>
    </xf>
    <xf numFmtId="0" fontId="17" fillId="8" borderId="0" xfId="0" applyFont="1" applyFill="1" applyAlignment="1">
      <alignment horizontal="left" vertical="top" wrapText="1"/>
    </xf>
    <xf numFmtId="164" fontId="17" fillId="8" borderId="55" xfId="0" applyNumberFormat="1" applyFont="1" applyFill="1" applyBorder="1" applyAlignment="1">
      <alignment vertical="top"/>
    </xf>
    <xf numFmtId="0" fontId="17" fillId="8" borderId="4" xfId="0" applyFont="1" applyFill="1" applyBorder="1" applyAlignment="1">
      <alignment horizontal="left" vertical="top" wrapText="1"/>
    </xf>
    <xf numFmtId="164" fontId="17" fillId="8" borderId="7" xfId="0" applyNumberFormat="1" applyFont="1" applyFill="1" applyBorder="1" applyAlignment="1">
      <alignment horizontal="right" vertical="top"/>
    </xf>
    <xf numFmtId="0" fontId="17" fillId="8" borderId="11" xfId="0" applyFont="1" applyFill="1" applyBorder="1" applyAlignment="1">
      <alignment horizontal="left" vertical="top" wrapText="1"/>
    </xf>
    <xf numFmtId="164" fontId="17" fillId="8" borderId="56" xfId="0" applyNumberFormat="1" applyFont="1" applyFill="1" applyBorder="1" applyAlignment="1">
      <alignment vertical="top"/>
    </xf>
    <xf numFmtId="0" fontId="0" fillId="8" borderId="53" xfId="0" applyFill="1" applyBorder="1" applyAlignment="1">
      <alignment horizontal="left" vertical="top" wrapText="1"/>
    </xf>
    <xf numFmtId="0" fontId="0" fillId="8" borderId="11" xfId="0" applyFill="1" applyBorder="1" applyAlignment="1">
      <alignment horizontal="left" vertical="top" wrapText="1"/>
    </xf>
    <xf numFmtId="164" fontId="12" fillId="8" borderId="7" xfId="0" applyNumberFormat="1" applyFont="1" applyFill="1" applyBorder="1" applyAlignment="1">
      <alignment vertical="center"/>
    </xf>
    <xf numFmtId="164" fontId="0" fillId="8" borderId="14" xfId="0" applyNumberFormat="1" applyFill="1" applyBorder="1" applyAlignment="1">
      <alignment horizontal="left" vertical="top"/>
    </xf>
    <xf numFmtId="0" fontId="17" fillId="8" borderId="10" xfId="0" applyFont="1" applyFill="1" applyBorder="1" applyAlignment="1">
      <alignment horizontal="left" vertical="top" wrapText="1"/>
    </xf>
    <xf numFmtId="0" fontId="17" fillId="8" borderId="22" xfId="0" applyFont="1" applyFill="1" applyBorder="1" applyAlignment="1">
      <alignment horizontal="left" vertical="top" wrapText="1"/>
    </xf>
    <xf numFmtId="164" fontId="0" fillId="8" borderId="12" xfId="0" applyNumberFormat="1" applyFill="1" applyBorder="1" applyAlignment="1">
      <alignment horizontal="left" vertical="top"/>
    </xf>
    <xf numFmtId="164" fontId="0" fillId="8" borderId="6" xfId="0" applyNumberFormat="1" applyFill="1" applyBorder="1" applyAlignment="1">
      <alignment horizontal="right" vertical="top"/>
    </xf>
    <xf numFmtId="164" fontId="0" fillId="8" borderId="11" xfId="0" applyNumberFormat="1" applyFill="1" applyBorder="1" applyAlignment="1">
      <alignment vertical="top"/>
    </xf>
    <xf numFmtId="164" fontId="0" fillId="8" borderId="56" xfId="0" applyNumberFormat="1" applyFill="1" applyBorder="1" applyAlignment="1">
      <alignment horizontal="right" vertical="top"/>
    </xf>
    <xf numFmtId="0" fontId="0" fillId="8" borderId="12" xfId="0" applyFill="1" applyBorder="1" applyAlignment="1">
      <alignment horizontal="left" vertical="top"/>
    </xf>
    <xf numFmtId="0" fontId="0" fillId="8" borderId="56" xfId="0" applyFill="1" applyBorder="1" applyAlignment="1">
      <alignment horizontal="right" vertical="top"/>
    </xf>
    <xf numFmtId="0" fontId="0" fillId="8" borderId="6" xfId="0" applyFill="1" applyBorder="1" applyAlignment="1">
      <alignment horizontal="right" vertical="top"/>
    </xf>
    <xf numFmtId="0" fontId="0" fillId="8" borderId="16" xfId="0" applyFill="1" applyBorder="1" applyAlignment="1">
      <alignment vertical="center" wrapText="1"/>
    </xf>
    <xf numFmtId="164" fontId="17" fillId="8" borderId="55" xfId="0" applyNumberFormat="1" applyFont="1" applyFill="1" applyBorder="1" applyAlignment="1">
      <alignment horizontal="right" vertical="top"/>
    </xf>
    <xf numFmtId="0" fontId="0" fillId="8" borderId="14" xfId="0" applyFill="1" applyBorder="1" applyAlignment="1">
      <alignment horizontal="left" vertical="top"/>
    </xf>
    <xf numFmtId="0" fontId="0" fillId="8" borderId="57" xfId="0" applyFill="1" applyBorder="1" applyAlignment="1">
      <alignment horizontal="right" vertical="top"/>
    </xf>
    <xf numFmtId="0" fontId="0" fillId="8" borderId="8" xfId="0" applyFill="1" applyBorder="1" applyAlignment="1">
      <alignment horizontal="left" vertical="top"/>
    </xf>
    <xf numFmtId="0" fontId="0" fillId="8" borderId="49" xfId="0" applyFill="1" applyBorder="1" applyAlignment="1">
      <alignment horizontal="left" vertical="top"/>
    </xf>
    <xf numFmtId="0" fontId="0" fillId="8" borderId="9" xfId="0" applyFill="1" applyBorder="1" applyAlignment="1">
      <alignment horizontal="right" vertical="top"/>
    </xf>
    <xf numFmtId="0" fontId="0" fillId="0" borderId="0" xfId="0" applyAlignment="1">
      <alignment horizontal="right" vertical="top"/>
    </xf>
    <xf numFmtId="0" fontId="11" fillId="13" borderId="55" xfId="0" applyFont="1" applyFill="1" applyBorder="1" applyAlignment="1">
      <alignment horizontal="right" vertical="top"/>
    </xf>
    <xf numFmtId="0" fontId="11" fillId="13" borderId="0" xfId="0" applyFont="1" applyFill="1"/>
    <xf numFmtId="0" fontId="2" fillId="13" borderId="55" xfId="0" applyFont="1" applyFill="1" applyBorder="1"/>
    <xf numFmtId="0" fontId="0" fillId="13" borderId="0" xfId="0" applyFill="1"/>
    <xf numFmtId="0" fontId="0" fillId="13" borderId="55" xfId="0" applyFill="1" applyBorder="1" applyAlignment="1">
      <alignment horizontal="right" vertical="top"/>
    </xf>
    <xf numFmtId="0" fontId="1" fillId="13" borderId="55" xfId="0" applyFont="1" applyFill="1" applyBorder="1" applyAlignment="1">
      <alignment horizontal="left" vertical="top"/>
    </xf>
    <xf numFmtId="0" fontId="0" fillId="0" borderId="0" xfId="0" applyAlignment="1">
      <alignment vertical="top" wrapText="1"/>
    </xf>
    <xf numFmtId="164" fontId="0" fillId="0" borderId="0" xfId="0" applyNumberFormat="1" applyAlignment="1">
      <alignment horizontal="left" vertical="top"/>
    </xf>
    <xf numFmtId="164" fontId="0" fillId="0" borderId="0" xfId="0" applyNumberFormat="1" applyAlignment="1">
      <alignment horizontal="right" vertical="top"/>
    </xf>
    <xf numFmtId="0" fontId="1" fillId="13" borderId="56" xfId="0" applyFont="1" applyFill="1" applyBorder="1" applyAlignment="1">
      <alignment horizontal="right" vertical="top"/>
    </xf>
    <xf numFmtId="0" fontId="0" fillId="13" borderId="11" xfId="0" applyFill="1" applyBorder="1"/>
    <xf numFmtId="0" fontId="0" fillId="8" borderId="51" xfId="0" applyFill="1" applyBorder="1"/>
    <xf numFmtId="164" fontId="0" fillId="13" borderId="55" xfId="0" applyNumberFormat="1" applyFill="1" applyBorder="1" applyAlignment="1">
      <alignment horizontal="right" vertical="top"/>
    </xf>
    <xf numFmtId="0" fontId="0" fillId="0" borderId="0" xfId="0" applyAlignment="1">
      <alignment horizontal="left" vertical="top" wrapText="1"/>
    </xf>
    <xf numFmtId="164" fontId="0" fillId="0" borderId="0" xfId="0" quotePrefix="1" applyNumberFormat="1" applyAlignment="1">
      <alignment horizontal="right" vertical="top"/>
    </xf>
    <xf numFmtId="164" fontId="0" fillId="13" borderId="55" xfId="0" quotePrefix="1" applyNumberFormat="1" applyFill="1" applyBorder="1" applyAlignment="1">
      <alignment horizontal="right" vertical="top"/>
    </xf>
    <xf numFmtId="164" fontId="17" fillId="13" borderId="57" xfId="0" applyNumberFormat="1" applyFont="1" applyFill="1" applyBorder="1" applyAlignment="1">
      <alignment vertical="top"/>
    </xf>
    <xf numFmtId="0" fontId="0" fillId="13" borderId="10" xfId="0" applyFill="1" applyBorder="1"/>
    <xf numFmtId="164" fontId="0" fillId="13" borderId="56" xfId="0" quotePrefix="1" applyNumberFormat="1" applyFill="1" applyBorder="1" applyAlignment="1">
      <alignment horizontal="right" vertical="top"/>
    </xf>
    <xf numFmtId="0" fontId="0" fillId="13" borderId="55" xfId="0" applyFill="1" applyBorder="1" applyAlignment="1">
      <alignment horizontal="left" vertical="top"/>
    </xf>
    <xf numFmtId="0" fontId="0" fillId="16" borderId="0" xfId="0" applyFill="1"/>
    <xf numFmtId="164" fontId="17" fillId="13" borderId="56" xfId="0" applyNumberFormat="1" applyFont="1" applyFill="1" applyBorder="1" applyAlignment="1">
      <alignment vertical="top"/>
    </xf>
    <xf numFmtId="164" fontId="0" fillId="0" borderId="0" xfId="0" applyNumberFormat="1" applyAlignment="1">
      <alignment vertical="top"/>
    </xf>
    <xf numFmtId="0" fontId="0" fillId="8" borderId="44" xfId="0" applyFill="1" applyBorder="1"/>
    <xf numFmtId="0" fontId="0" fillId="0" borderId="0" xfId="0" applyAlignment="1">
      <alignment vertical="center" wrapText="1"/>
    </xf>
    <xf numFmtId="164" fontId="1" fillId="0" borderId="0" xfId="0" applyNumberFormat="1" applyFont="1" applyAlignment="1">
      <alignment horizontal="right" vertical="top"/>
    </xf>
    <xf numFmtId="164" fontId="0" fillId="13" borderId="56" xfId="0" applyNumberFormat="1" applyFill="1" applyBorder="1" applyAlignment="1">
      <alignment horizontal="right" vertical="top"/>
    </xf>
    <xf numFmtId="0" fontId="0" fillId="8" borderId="59" xfId="0" applyFill="1" applyBorder="1"/>
    <xf numFmtId="0" fontId="0" fillId="13" borderId="56" xfId="0" applyFill="1" applyBorder="1" applyAlignment="1">
      <alignment horizontal="right" vertical="top"/>
    </xf>
    <xf numFmtId="164" fontId="17" fillId="13" borderId="55" xfId="0" applyNumberFormat="1" applyFont="1" applyFill="1" applyBorder="1" applyAlignment="1">
      <alignment horizontal="right" vertical="top"/>
    </xf>
    <xf numFmtId="0" fontId="0" fillId="13" borderId="57" xfId="0" applyFill="1" applyBorder="1" applyAlignment="1">
      <alignment horizontal="right" vertical="top"/>
    </xf>
    <xf numFmtId="0" fontId="0" fillId="8" borderId="5" xfId="0" applyFill="1" applyBorder="1"/>
    <xf numFmtId="164" fontId="0" fillId="8" borderId="11" xfId="0" applyNumberFormat="1" applyFill="1" applyBorder="1"/>
    <xf numFmtId="0" fontId="0" fillId="8" borderId="0" xfId="0" applyFill="1" applyAlignment="1">
      <alignment horizontal="left" wrapText="1"/>
    </xf>
    <xf numFmtId="0" fontId="5" fillId="8" borderId="17" xfId="0" applyFont="1" applyFill="1" applyBorder="1" applyAlignment="1">
      <alignment horizontal="left" vertical="top" wrapText="1"/>
    </xf>
    <xf numFmtId="164" fontId="0" fillId="8" borderId="0" xfId="0" applyNumberFormat="1" applyFill="1" applyAlignment="1">
      <alignment horizontal="right"/>
    </xf>
    <xf numFmtId="0" fontId="0" fillId="0" borderId="0" xfId="0" applyAlignment="1">
      <alignment horizontal="left" wrapText="1"/>
    </xf>
    <xf numFmtId="0" fontId="0" fillId="0" borderId="0" xfId="0" applyAlignment="1">
      <alignment horizontal="right" vertical="center"/>
    </xf>
    <xf numFmtId="1" fontId="1" fillId="8" borderId="0" xfId="0" applyNumberFormat="1" applyFont="1" applyFill="1"/>
    <xf numFmtId="164" fontId="0" fillId="8" borderId="10" xfId="0" applyNumberFormat="1" applyFill="1" applyBorder="1"/>
    <xf numFmtId="0" fontId="1" fillId="8" borderId="10" xfId="0" applyFont="1" applyFill="1" applyBorder="1" applyAlignment="1">
      <alignment wrapText="1"/>
    </xf>
    <xf numFmtId="0" fontId="0" fillId="0" borderId="0" xfId="0" applyAlignment="1">
      <alignment horizontal="center"/>
    </xf>
    <xf numFmtId="0" fontId="0" fillId="8" borderId="0" xfId="0" applyFill="1" applyAlignment="1">
      <alignment vertical="top" wrapText="1"/>
    </xf>
    <xf numFmtId="0" fontId="0" fillId="8" borderId="10" xfId="0" applyFill="1" applyBorder="1" applyAlignment="1">
      <alignment wrapText="1"/>
    </xf>
    <xf numFmtId="0" fontId="1" fillId="8" borderId="0" xfId="0" applyFont="1" applyFill="1" applyAlignment="1">
      <alignment vertical="top" wrapText="1"/>
    </xf>
    <xf numFmtId="0" fontId="0" fillId="8" borderId="0" xfId="0" applyFill="1" applyAlignment="1">
      <alignment horizontal="center" wrapText="1"/>
    </xf>
    <xf numFmtId="0" fontId="0" fillId="8" borderId="0" xfId="0" applyFill="1" applyAlignment="1">
      <alignment vertical="center"/>
    </xf>
    <xf numFmtId="0" fontId="0" fillId="5" borderId="23" xfId="0" applyFill="1" applyBorder="1"/>
    <xf numFmtId="0" fontId="0" fillId="5" borderId="24" xfId="0" applyFill="1" applyBorder="1" applyAlignment="1">
      <alignment horizontal="right"/>
    </xf>
    <xf numFmtId="0" fontId="0" fillId="2" borderId="23" xfId="0" applyFill="1" applyBorder="1"/>
    <xf numFmtId="0" fontId="0" fillId="2" borderId="24" xfId="0" applyFill="1" applyBorder="1" applyAlignment="1">
      <alignment horizontal="right"/>
    </xf>
    <xf numFmtId="0" fontId="0" fillId="8" borderId="0" xfId="0" applyFill="1" applyAlignment="1">
      <alignment horizontal="justify" vertical="center"/>
    </xf>
    <xf numFmtId="0" fontId="5" fillId="8" borderId="0" xfId="0" applyFont="1" applyFill="1" applyAlignment="1">
      <alignment horizontal="left" vertical="top" wrapText="1"/>
    </xf>
    <xf numFmtId="0" fontId="6" fillId="8" borderId="0" xfId="0" applyFont="1" applyFill="1" applyAlignment="1">
      <alignment vertical="center"/>
    </xf>
    <xf numFmtId="0" fontId="0" fillId="8" borderId="16" xfId="0" applyFill="1" applyBorder="1" applyAlignment="1">
      <alignment horizontal="left" vertical="center" wrapText="1"/>
    </xf>
    <xf numFmtId="0" fontId="0" fillId="8" borderId="16" xfId="0" applyFill="1" applyBorder="1" applyAlignment="1">
      <alignment wrapText="1"/>
    </xf>
    <xf numFmtId="0" fontId="5" fillId="8" borderId="10" xfId="0" applyFont="1" applyFill="1" applyBorder="1" applyAlignment="1">
      <alignment vertical="top" wrapText="1"/>
    </xf>
    <xf numFmtId="0" fontId="7" fillId="0" borderId="0" xfId="0" applyFont="1"/>
    <xf numFmtId="0" fontId="8" fillId="0" borderId="0" xfId="0" applyFont="1" applyAlignment="1">
      <alignment vertical="top" wrapText="1"/>
    </xf>
    <xf numFmtId="0" fontId="7" fillId="0" borderId="0" xfId="0" applyFont="1" applyAlignment="1">
      <alignment vertical="top" wrapText="1"/>
    </xf>
    <xf numFmtId="2" fontId="9" fillId="0" borderId="0" xfId="0" applyNumberFormat="1" applyFont="1" applyAlignment="1">
      <alignment vertical="center"/>
    </xf>
    <xf numFmtId="1" fontId="7" fillId="0" borderId="0" xfId="0" applyNumberFormat="1" applyFont="1"/>
    <xf numFmtId="0" fontId="10" fillId="0" borderId="0" xfId="0" applyFont="1" applyAlignment="1">
      <alignment vertical="center"/>
    </xf>
    <xf numFmtId="0" fontId="3" fillId="8" borderId="12" xfId="0" applyFont="1" applyFill="1" applyBorder="1"/>
    <xf numFmtId="0" fontId="1" fillId="8" borderId="11" xfId="0" applyFont="1" applyFill="1" applyBorder="1" applyAlignment="1">
      <alignment vertical="top" wrapText="1"/>
    </xf>
    <xf numFmtId="0" fontId="0" fillId="8" borderId="11" xfId="0" applyFill="1" applyBorder="1" applyAlignment="1">
      <alignment horizontal="center" wrapText="1"/>
    </xf>
    <xf numFmtId="164" fontId="0" fillId="0" borderId="0" xfId="0" applyNumberFormat="1" applyAlignment="1">
      <alignment horizontal="right"/>
    </xf>
    <xf numFmtId="164" fontId="11" fillId="8" borderId="0" xfId="0" applyNumberFormat="1" applyFont="1" applyFill="1" applyAlignment="1">
      <alignment horizontal="right"/>
    </xf>
    <xf numFmtId="1" fontId="14" fillId="8" borderId="0" xfId="0" applyNumberFormat="1" applyFont="1" applyFill="1" applyAlignment="1">
      <alignment horizontal="right"/>
    </xf>
    <xf numFmtId="0" fontId="0" fillId="7" borderId="25" xfId="0" applyFill="1" applyBorder="1"/>
    <xf numFmtId="0" fontId="0" fillId="7" borderId="27" xfId="0" applyFill="1" applyBorder="1" applyAlignment="1">
      <alignment horizontal="right"/>
    </xf>
    <xf numFmtId="1" fontId="1" fillId="8" borderId="0" xfId="0" applyNumberFormat="1" applyFont="1" applyFill="1" applyAlignment="1">
      <alignment wrapText="1"/>
    </xf>
    <xf numFmtId="0" fontId="0" fillId="0" borderId="0" xfId="0" applyAlignment="1">
      <alignment horizontal="justify" vertical="center" wrapText="1"/>
    </xf>
    <xf numFmtId="0" fontId="4" fillId="0" borderId="0" xfId="0" applyFont="1" applyAlignment="1">
      <alignment horizontal="justify" vertical="center" wrapText="1"/>
    </xf>
    <xf numFmtId="0" fontId="0" fillId="8" borderId="0" xfId="0" applyFill="1" applyAlignment="1">
      <alignment horizontal="right" vertical="center"/>
    </xf>
    <xf numFmtId="2" fontId="0" fillId="8" borderId="17" xfId="0" applyNumberFormat="1" applyFill="1" applyBorder="1"/>
    <xf numFmtId="0" fontId="0" fillId="4" borderId="1" xfId="0" applyFill="1" applyBorder="1"/>
    <xf numFmtId="0" fontId="0" fillId="4" borderId="24" xfId="0" applyFill="1" applyBorder="1" applyAlignment="1">
      <alignment horizontal="right"/>
    </xf>
    <xf numFmtId="1" fontId="1" fillId="8" borderId="17" xfId="0" applyNumberFormat="1" applyFont="1" applyFill="1" applyBorder="1" applyAlignment="1">
      <alignment vertical="center"/>
    </xf>
    <xf numFmtId="0" fontId="0" fillId="2" borderId="1" xfId="0" applyFill="1" applyBorder="1"/>
    <xf numFmtId="0" fontId="0" fillId="6" borderId="1" xfId="0" applyFill="1" applyBorder="1"/>
    <xf numFmtId="0" fontId="0" fillId="6" borderId="24" xfId="0" applyFill="1" applyBorder="1" applyAlignment="1">
      <alignment horizontal="right"/>
    </xf>
    <xf numFmtId="0" fontId="0" fillId="7" borderId="26" xfId="0" applyFill="1" applyBorder="1"/>
    <xf numFmtId="0" fontId="0" fillId="0" borderId="0" xfId="0" applyAlignment="1">
      <alignment vertical="top"/>
    </xf>
    <xf numFmtId="0" fontId="0" fillId="0" borderId="0" xfId="0" applyAlignment="1">
      <alignment vertical="center"/>
    </xf>
    <xf numFmtId="0" fontId="0" fillId="7" borderId="25" xfId="0" applyFill="1" applyBorder="1" applyAlignment="1">
      <alignment horizontal="right"/>
    </xf>
    <xf numFmtId="1" fontId="0" fillId="0" borderId="0" xfId="0" applyNumberFormat="1"/>
    <xf numFmtId="0" fontId="0" fillId="0" borderId="0" xfId="0" applyAlignment="1">
      <alignment wrapText="1"/>
    </xf>
    <xf numFmtId="0" fontId="4" fillId="0" borderId="0" xfId="0" applyFont="1" applyAlignment="1">
      <alignment horizontal="left" vertical="center" wrapText="1"/>
    </xf>
    <xf numFmtId="0" fontId="0" fillId="0" borderId="0" xfId="0" applyAlignment="1">
      <alignment horizontal="right"/>
    </xf>
    <xf numFmtId="0" fontId="0" fillId="8" borderId="10" xfId="0" applyFill="1" applyBorder="1" applyAlignment="1">
      <alignment horizontal="center" vertical="center" wrapText="1"/>
    </xf>
    <xf numFmtId="0" fontId="0" fillId="8" borderId="0" xfId="0" applyFill="1" applyAlignment="1">
      <alignment horizontal="left"/>
    </xf>
    <xf numFmtId="164" fontId="0" fillId="8" borderId="17" xfId="0" applyNumberFormat="1" applyFill="1" applyBorder="1"/>
    <xf numFmtId="42" fontId="0" fillId="11" borderId="0" xfId="1" applyNumberFormat="1" applyFont="1" applyFill="1" applyBorder="1" applyAlignment="1" applyProtection="1">
      <alignment horizontal="left" vertical="top"/>
      <protection locked="0"/>
    </xf>
    <xf numFmtId="42" fontId="0" fillId="8" borderId="0" xfId="0" applyNumberFormat="1" applyFill="1" applyAlignment="1">
      <alignment horizontal="left" vertical="top"/>
    </xf>
    <xf numFmtId="0" fontId="5" fillId="8" borderId="17" xfId="0" applyFont="1" applyFill="1" applyBorder="1" applyAlignment="1">
      <alignment vertical="top" wrapText="1"/>
    </xf>
    <xf numFmtId="0" fontId="0" fillId="8" borderId="0" xfId="0" applyFill="1" applyAlignment="1">
      <alignment vertical="center" wrapText="1"/>
    </xf>
    <xf numFmtId="0" fontId="0" fillId="8" borderId="16" xfId="0" applyFill="1" applyBorder="1" applyAlignment="1">
      <alignment horizontal="left" vertical="top" wrapText="1"/>
    </xf>
    <xf numFmtId="0" fontId="0" fillId="8" borderId="16" xfId="0" applyFill="1" applyBorder="1" applyAlignment="1">
      <alignment horizontal="justify" vertical="center"/>
    </xf>
    <xf numFmtId="0" fontId="16" fillId="8" borderId="0" xfId="0" applyFont="1" applyFill="1" applyAlignment="1">
      <alignment vertical="top" wrapText="1"/>
    </xf>
    <xf numFmtId="0" fontId="11" fillId="8" borderId="0" xfId="0" applyFont="1" applyFill="1" applyAlignment="1">
      <alignment vertical="top" wrapText="1"/>
    </xf>
    <xf numFmtId="0" fontId="17" fillId="8" borderId="4" xfId="0" applyFont="1" applyFill="1" applyBorder="1" applyAlignment="1">
      <alignment horizontal="left" vertical="top"/>
    </xf>
    <xf numFmtId="0" fontId="17" fillId="8" borderId="0" xfId="0" applyFont="1" applyFill="1" applyAlignment="1">
      <alignment horizontal="left" vertical="top"/>
    </xf>
    <xf numFmtId="164" fontId="0" fillId="8" borderId="0" xfId="0" applyNumberFormat="1" applyFill="1" applyAlignment="1">
      <alignment horizontal="right" vertical="top"/>
    </xf>
    <xf numFmtId="164" fontId="17" fillId="8" borderId="0" xfId="0" applyNumberFormat="1" applyFont="1" applyFill="1" applyAlignment="1">
      <alignment horizontal="right" vertical="top"/>
    </xf>
    <xf numFmtId="164" fontId="12" fillId="8" borderId="0" xfId="0" applyNumberFormat="1" applyFont="1" applyFill="1" applyAlignment="1">
      <alignment vertical="center"/>
    </xf>
    <xf numFmtId="164" fontId="0" fillId="8" borderId="0" xfId="0" quotePrefix="1" applyNumberFormat="1" applyFill="1" applyAlignment="1">
      <alignment horizontal="right" vertical="top"/>
    </xf>
    <xf numFmtId="0" fontId="0" fillId="8" borderId="16" xfId="0" applyFill="1" applyBorder="1" applyAlignment="1">
      <alignment horizontal="left" vertical="top"/>
    </xf>
    <xf numFmtId="0" fontId="2" fillId="0" borderId="0" xfId="0" applyFont="1" applyAlignment="1">
      <alignment vertical="top" wrapText="1"/>
    </xf>
    <xf numFmtId="0" fontId="0" fillId="8" borderId="75" xfId="0" applyFill="1" applyBorder="1"/>
    <xf numFmtId="0" fontId="2" fillId="8" borderId="76" xfId="0" applyFont="1" applyFill="1" applyBorder="1" applyAlignment="1">
      <alignment vertical="top" wrapText="1"/>
    </xf>
    <xf numFmtId="0" fontId="0" fillId="8" borderId="76" xfId="0" applyFill="1" applyBorder="1"/>
    <xf numFmtId="0" fontId="1" fillId="8" borderId="11" xfId="0" applyFont="1" applyFill="1" applyBorder="1" applyAlignment="1">
      <alignment horizontal="right" vertical="top"/>
    </xf>
    <xf numFmtId="164" fontId="17" fillId="8" borderId="10" xfId="0" applyNumberFormat="1" applyFont="1" applyFill="1" applyBorder="1" applyAlignment="1">
      <alignment horizontal="right" vertical="top"/>
    </xf>
    <xf numFmtId="164" fontId="0" fillId="8" borderId="11" xfId="0" quotePrefix="1" applyNumberFormat="1" applyFill="1" applyBorder="1" applyAlignment="1">
      <alignment horizontal="right" vertical="top"/>
    </xf>
    <xf numFmtId="164" fontId="12" fillId="0" borderId="0" xfId="0" applyNumberFormat="1" applyFont="1" applyAlignment="1">
      <alignment vertical="center"/>
    </xf>
    <xf numFmtId="0" fontId="12" fillId="8" borderId="0" xfId="0" applyFont="1" applyFill="1" applyAlignment="1">
      <alignment vertical="center"/>
    </xf>
    <xf numFmtId="164" fontId="0" fillId="8" borderId="11" xfId="0" applyNumberFormat="1" applyFill="1" applyBorder="1" applyAlignment="1">
      <alignment horizontal="right" vertical="top"/>
    </xf>
    <xf numFmtId="0" fontId="0" fillId="8" borderId="11" xfId="0" applyFill="1" applyBorder="1" applyAlignment="1">
      <alignment horizontal="right" vertical="top"/>
    </xf>
    <xf numFmtId="0" fontId="0" fillId="8" borderId="49" xfId="0" applyFill="1" applyBorder="1" applyAlignment="1">
      <alignment horizontal="right" vertical="top"/>
    </xf>
    <xf numFmtId="0" fontId="1" fillId="8" borderId="76" xfId="0" applyFont="1" applyFill="1" applyBorder="1" applyAlignment="1">
      <alignment horizontal="right" vertical="top"/>
    </xf>
    <xf numFmtId="164" fontId="0" fillId="8" borderId="76" xfId="0" quotePrefix="1" applyNumberFormat="1" applyFill="1" applyBorder="1" applyAlignment="1">
      <alignment horizontal="right" vertical="top"/>
    </xf>
    <xf numFmtId="164" fontId="0" fillId="8" borderId="76" xfId="0" applyNumberFormat="1" applyFill="1" applyBorder="1" applyAlignment="1">
      <alignment horizontal="right" vertical="top"/>
    </xf>
    <xf numFmtId="164" fontId="17" fillId="8" borderId="74" xfId="0" applyNumberFormat="1" applyFont="1" applyFill="1" applyBorder="1" applyAlignment="1">
      <alignment horizontal="right" vertical="top"/>
    </xf>
    <xf numFmtId="164" fontId="0" fillId="8" borderId="78" xfId="0" quotePrefix="1" applyNumberFormat="1" applyFill="1" applyBorder="1" applyAlignment="1">
      <alignment horizontal="right" vertical="top"/>
    </xf>
    <xf numFmtId="0" fontId="12" fillId="0" borderId="76" xfId="0" applyFont="1" applyBorder="1" applyAlignment="1">
      <alignment vertical="center"/>
    </xf>
    <xf numFmtId="164" fontId="12" fillId="0" borderId="76" xfId="0" applyNumberFormat="1" applyFont="1" applyBorder="1" applyAlignment="1">
      <alignment vertical="center"/>
    </xf>
    <xf numFmtId="0" fontId="12" fillId="8" borderId="76" xfId="0" applyFont="1" applyFill="1" applyBorder="1" applyAlignment="1">
      <alignment vertical="center"/>
    </xf>
    <xf numFmtId="164" fontId="12" fillId="8" borderId="76" xfId="0" applyNumberFormat="1" applyFont="1" applyFill="1" applyBorder="1" applyAlignment="1">
      <alignment vertical="center"/>
    </xf>
    <xf numFmtId="164" fontId="0" fillId="8" borderId="78" xfId="0" applyNumberFormat="1" applyFill="1" applyBorder="1" applyAlignment="1">
      <alignment horizontal="right" vertical="top"/>
    </xf>
    <xf numFmtId="0" fontId="0" fillId="8" borderId="78" xfId="0" applyFill="1" applyBorder="1" applyAlignment="1">
      <alignment horizontal="right" vertical="top"/>
    </xf>
    <xf numFmtId="164" fontId="17" fillId="8" borderId="76" xfId="0" applyNumberFormat="1" applyFont="1" applyFill="1" applyBorder="1" applyAlignment="1">
      <alignment horizontal="right" vertical="top"/>
    </xf>
    <xf numFmtId="0" fontId="0" fillId="8" borderId="77" xfId="0" applyFill="1" applyBorder="1" applyAlignment="1">
      <alignment horizontal="right" vertical="top"/>
    </xf>
    <xf numFmtId="0" fontId="0" fillId="8" borderId="74" xfId="0" applyFill="1" applyBorder="1" applyAlignment="1">
      <alignment horizontal="left" vertical="top"/>
    </xf>
    <xf numFmtId="0" fontId="2" fillId="8" borderId="76" xfId="0" applyFont="1" applyFill="1" applyBorder="1" applyAlignment="1">
      <alignment horizontal="center" vertical="top" wrapText="1"/>
    </xf>
    <xf numFmtId="164" fontId="11" fillId="0" borderId="0" xfId="0" applyNumberFormat="1" applyFont="1" applyProtection="1">
      <protection locked="0"/>
    </xf>
    <xf numFmtId="0" fontId="0" fillId="0" borderId="79" xfId="0" applyBorder="1"/>
    <xf numFmtId="0" fontId="0" fillId="17" borderId="0" xfId="0" applyFill="1"/>
    <xf numFmtId="0" fontId="0" fillId="17" borderId="12" xfId="0" applyFill="1" applyBorder="1"/>
    <xf numFmtId="0" fontId="0" fillId="17" borderId="11" xfId="0" applyFill="1" applyBorder="1"/>
    <xf numFmtId="0" fontId="0" fillId="17" borderId="16" xfId="0" applyFill="1" applyBorder="1"/>
    <xf numFmtId="0" fontId="0" fillId="17" borderId="17" xfId="0" applyFill="1" applyBorder="1"/>
    <xf numFmtId="0" fontId="0" fillId="17" borderId="14" xfId="0" applyFill="1" applyBorder="1"/>
    <xf numFmtId="0" fontId="0" fillId="17" borderId="10" xfId="0" applyFill="1" applyBorder="1"/>
    <xf numFmtId="0" fontId="0" fillId="17" borderId="65" xfId="0" applyFill="1" applyBorder="1"/>
    <xf numFmtId="0" fontId="0" fillId="17" borderId="67" xfId="0" applyFill="1" applyBorder="1"/>
    <xf numFmtId="0" fontId="0" fillId="17" borderId="39" xfId="0" applyFill="1" applyBorder="1"/>
    <xf numFmtId="0" fontId="0" fillId="4" borderId="35" xfId="0" applyFill="1" applyBorder="1"/>
    <xf numFmtId="0" fontId="0" fillId="4" borderId="37" xfId="0" applyFill="1" applyBorder="1" applyAlignment="1">
      <alignment horizontal="right"/>
    </xf>
    <xf numFmtId="164" fontId="0" fillId="0" borderId="55" xfId="0" applyNumberFormat="1" applyBorder="1" applyAlignment="1">
      <alignment horizontal="right" vertical="top"/>
    </xf>
    <xf numFmtId="0" fontId="0" fillId="8" borderId="0" xfId="0" applyFill="1" applyAlignment="1">
      <alignment horizontal="left" vertical="center" wrapText="1"/>
    </xf>
    <xf numFmtId="0" fontId="17" fillId="0" borderId="0" xfId="0" applyFont="1" applyAlignment="1">
      <alignment vertical="center"/>
    </xf>
    <xf numFmtId="0" fontId="11" fillId="8" borderId="17" xfId="0" applyFont="1" applyFill="1" applyBorder="1"/>
    <xf numFmtId="0" fontId="11" fillId="8" borderId="16" xfId="0" applyFont="1" applyFill="1" applyBorder="1" applyAlignment="1">
      <alignment vertical="center" wrapText="1"/>
    </xf>
    <xf numFmtId="0" fontId="11" fillId="8" borderId="0" xfId="0" applyFont="1" applyFill="1" applyAlignment="1">
      <alignment horizontal="center" wrapText="1"/>
    </xf>
    <xf numFmtId="0" fontId="11" fillId="8" borderId="0" xfId="0" applyFont="1" applyFill="1" applyAlignment="1">
      <alignment vertical="center"/>
    </xf>
    <xf numFmtId="0" fontId="22" fillId="8" borderId="12" xfId="0" applyFont="1" applyFill="1" applyBorder="1" applyAlignment="1">
      <alignment vertical="center"/>
    </xf>
    <xf numFmtId="0" fontId="22" fillId="8" borderId="11" xfId="0" applyFont="1" applyFill="1" applyBorder="1" applyAlignment="1">
      <alignment vertical="center"/>
    </xf>
    <xf numFmtId="0" fontId="22" fillId="8" borderId="13" xfId="0" applyFont="1" applyFill="1" applyBorder="1" applyAlignment="1">
      <alignment vertical="center"/>
    </xf>
    <xf numFmtId="0" fontId="24" fillId="8" borderId="16" xfId="0" applyFont="1" applyFill="1" applyBorder="1"/>
    <xf numFmtId="1" fontId="0" fillId="8" borderId="10" xfId="0" applyNumberFormat="1" applyFill="1" applyBorder="1"/>
    <xf numFmtId="0" fontId="6" fillId="8" borderId="10" xfId="0" applyFont="1" applyFill="1" applyBorder="1" applyAlignment="1">
      <alignment vertical="center"/>
    </xf>
    <xf numFmtId="0" fontId="0" fillId="17" borderId="29" xfId="0" applyFill="1" applyBorder="1"/>
    <xf numFmtId="164" fontId="0" fillId="17" borderId="61" xfId="0" applyNumberFormat="1" applyFill="1" applyBorder="1"/>
    <xf numFmtId="0" fontId="0" fillId="17" borderId="61" xfId="0" applyFill="1" applyBorder="1"/>
    <xf numFmtId="0" fontId="0" fillId="17" borderId="15" xfId="0" applyFill="1" applyBorder="1"/>
    <xf numFmtId="0" fontId="4" fillId="0" borderId="0" xfId="0" applyFont="1" applyAlignment="1">
      <alignment horizontal="right" vertical="center" wrapText="1"/>
    </xf>
    <xf numFmtId="0" fontId="5" fillId="0" borderId="0" xfId="0" applyFont="1" applyAlignment="1">
      <alignment vertical="top" wrapText="1"/>
    </xf>
    <xf numFmtId="164" fontId="0" fillId="11" borderId="0" xfId="0" applyNumberFormat="1" applyFill="1" applyProtection="1">
      <protection locked="0"/>
    </xf>
    <xf numFmtId="2" fontId="0" fillId="8" borderId="0" xfId="0" applyNumberFormat="1" applyFill="1" applyAlignment="1">
      <alignment horizontal="right"/>
    </xf>
    <xf numFmtId="165" fontId="0" fillId="8" borderId="0" xfId="0" applyNumberFormat="1" applyFill="1"/>
    <xf numFmtId="0" fontId="1" fillId="17" borderId="60" xfId="0" applyFont="1" applyFill="1" applyBorder="1" applyAlignment="1">
      <alignment vertical="center"/>
    </xf>
    <xf numFmtId="0" fontId="0" fillId="17" borderId="0" xfId="0" applyFill="1" applyAlignment="1">
      <alignment horizontal="left" vertical="center"/>
    </xf>
    <xf numFmtId="0" fontId="0" fillId="19" borderId="12" xfId="0" applyFill="1" applyBorder="1"/>
    <xf numFmtId="0" fontId="0" fillId="19" borderId="11" xfId="0" applyFill="1" applyBorder="1"/>
    <xf numFmtId="0" fontId="0" fillId="19" borderId="13" xfId="0" applyFill="1" applyBorder="1"/>
    <xf numFmtId="0" fontId="0" fillId="19" borderId="16" xfId="0" applyFill="1" applyBorder="1"/>
    <xf numFmtId="0" fontId="17" fillId="19" borderId="0" xfId="0" applyFont="1" applyFill="1"/>
    <xf numFmtId="0" fontId="0" fillId="19" borderId="0" xfId="0" applyFill="1"/>
    <xf numFmtId="0" fontId="1" fillId="19" borderId="0" xfId="0" applyFont="1" applyFill="1"/>
    <xf numFmtId="0" fontId="0" fillId="19" borderId="17" xfId="0" applyFill="1" applyBorder="1"/>
    <xf numFmtId="0" fontId="0" fillId="19" borderId="10" xfId="0" applyFill="1" applyBorder="1"/>
    <xf numFmtId="0" fontId="0" fillId="19" borderId="15" xfId="0" applyFill="1" applyBorder="1"/>
    <xf numFmtId="0" fontId="0" fillId="4" borderId="23" xfId="0" applyFill="1" applyBorder="1"/>
    <xf numFmtId="0" fontId="0" fillId="6" borderId="23" xfId="0" applyFill="1" applyBorder="1"/>
    <xf numFmtId="0" fontId="0" fillId="20" borderId="0" xfId="0" applyFill="1" applyAlignment="1" applyProtection="1">
      <alignment horizontal="left" vertical="top"/>
      <protection locked="0"/>
    </xf>
    <xf numFmtId="0" fontId="0" fillId="5" borderId="61" xfId="0" applyFill="1" applyBorder="1"/>
    <xf numFmtId="0" fontId="0" fillId="2" borderId="61" xfId="0" applyFill="1" applyBorder="1"/>
    <xf numFmtId="0" fontId="0" fillId="17" borderId="13" xfId="0" applyFill="1" applyBorder="1"/>
    <xf numFmtId="0" fontId="0" fillId="17" borderId="0" xfId="0" applyFill="1" applyAlignment="1">
      <alignment horizontal="left"/>
    </xf>
    <xf numFmtId="0" fontId="1" fillId="17" borderId="11" xfId="0" applyFont="1" applyFill="1" applyBorder="1"/>
    <xf numFmtId="1" fontId="0" fillId="8" borderId="11" xfId="0" applyNumberFormat="1" applyFill="1" applyBorder="1" applyAlignment="1">
      <alignment horizontal="right"/>
    </xf>
    <xf numFmtId="1" fontId="0" fillId="8" borderId="11" xfId="0" applyNumberFormat="1" applyFill="1" applyBorder="1"/>
    <xf numFmtId="0" fontId="12" fillId="8" borderId="55" xfId="0" applyFont="1" applyFill="1" applyBorder="1" applyAlignment="1">
      <alignment vertical="center"/>
    </xf>
    <xf numFmtId="0" fontId="0" fillId="11" borderId="0" xfId="0" applyFill="1" applyAlignment="1" applyProtection="1">
      <alignment horizontal="right"/>
      <protection locked="0"/>
    </xf>
    <xf numFmtId="0" fontId="0" fillId="11" borderId="83" xfId="0" applyFill="1" applyBorder="1" applyProtection="1">
      <protection locked="0"/>
    </xf>
    <xf numFmtId="0" fontId="0" fillId="11" borderId="67" xfId="0" applyFill="1" applyBorder="1" applyProtection="1">
      <protection locked="0"/>
    </xf>
    <xf numFmtId="0" fontId="0" fillId="11" borderId="80" xfId="0" applyFill="1" applyBorder="1" applyProtection="1">
      <protection locked="0"/>
    </xf>
    <xf numFmtId="0" fontId="0" fillId="11" borderId="84" xfId="0" applyFill="1" applyBorder="1" applyProtection="1">
      <protection locked="0"/>
    </xf>
    <xf numFmtId="0" fontId="0" fillId="11" borderId="81" xfId="0" applyFill="1" applyBorder="1" applyProtection="1">
      <protection locked="0"/>
    </xf>
    <xf numFmtId="0" fontId="0" fillId="11" borderId="17" xfId="0" applyFill="1" applyBorder="1" applyProtection="1">
      <protection locked="0"/>
    </xf>
    <xf numFmtId="0" fontId="0" fillId="11" borderId="85" xfId="0" applyFill="1" applyBorder="1" applyProtection="1">
      <protection locked="0"/>
    </xf>
    <xf numFmtId="0" fontId="0" fillId="11" borderId="82" xfId="0" applyFill="1" applyBorder="1" applyProtection="1">
      <protection locked="0"/>
    </xf>
    <xf numFmtId="0" fontId="0" fillId="5" borderId="48" xfId="0" applyFill="1" applyBorder="1"/>
    <xf numFmtId="0" fontId="0" fillId="2" borderId="48" xfId="0" applyFill="1" applyBorder="1"/>
    <xf numFmtId="0" fontId="0" fillId="6" borderId="48" xfId="0" applyFill="1" applyBorder="1"/>
    <xf numFmtId="0" fontId="0" fillId="7" borderId="18" xfId="0" applyFill="1" applyBorder="1"/>
    <xf numFmtId="0" fontId="0" fillId="4" borderId="22" xfId="0" applyFill="1" applyBorder="1"/>
    <xf numFmtId="0" fontId="15" fillId="8" borderId="34" xfId="0" applyFont="1" applyFill="1" applyBorder="1" applyAlignment="1">
      <alignment horizontal="left" vertical="top"/>
    </xf>
    <xf numFmtId="0" fontId="16" fillId="8" borderId="0" xfId="0" applyFont="1" applyFill="1" applyAlignment="1">
      <alignment horizontal="left" vertical="top" wrapText="1"/>
    </xf>
    <xf numFmtId="0" fontId="16" fillId="8" borderId="0" xfId="0" applyFont="1" applyFill="1" applyAlignment="1">
      <alignment horizontal="left" vertical="top"/>
    </xf>
    <xf numFmtId="0" fontId="0" fillId="11" borderId="0" xfId="0" applyFill="1" applyAlignment="1" applyProtection="1">
      <alignment horizontal="left" vertical="top"/>
      <protection locked="0"/>
    </xf>
    <xf numFmtId="0" fontId="23" fillId="8" borderId="0" xfId="0" applyFont="1" applyFill="1" applyAlignment="1">
      <alignment horizontal="left" vertical="top" wrapText="1"/>
    </xf>
    <xf numFmtId="0" fontId="23" fillId="8" borderId="0" xfId="0" applyFont="1" applyFill="1" applyAlignment="1">
      <alignment horizontal="left" vertical="top"/>
    </xf>
    <xf numFmtId="0" fontId="0" fillId="0" borderId="0" xfId="0" applyAlignment="1">
      <alignment horizontal="left"/>
    </xf>
    <xf numFmtId="0" fontId="0" fillId="20" borderId="0" xfId="0" applyFill="1" applyAlignment="1" applyProtection="1">
      <alignment horizontal="left" vertical="top"/>
      <protection locked="0"/>
    </xf>
    <xf numFmtId="0" fontId="0" fillId="11" borderId="0" xfId="0" applyFill="1" applyAlignment="1" applyProtection="1">
      <alignment horizontal="left" vertical="top" wrapText="1"/>
      <protection locked="0"/>
    </xf>
    <xf numFmtId="0" fontId="17" fillId="17" borderId="49" xfId="0" applyFont="1" applyFill="1" applyBorder="1" applyAlignment="1">
      <alignment vertical="center"/>
    </xf>
    <xf numFmtId="0" fontId="18" fillId="8" borderId="2" xfId="0" applyFont="1" applyFill="1" applyBorder="1" applyAlignment="1">
      <alignment horizontal="center" vertical="center"/>
    </xf>
    <xf numFmtId="0" fontId="18" fillId="8" borderId="34"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9" xfId="0" applyFont="1" applyFill="1" applyBorder="1" applyAlignment="1">
      <alignment horizontal="center" vertical="center"/>
    </xf>
    <xf numFmtId="0" fontId="18" fillId="8" borderId="9" xfId="0" applyFont="1" applyFill="1" applyBorder="1" applyAlignment="1">
      <alignment horizontal="center" vertical="center"/>
    </xf>
    <xf numFmtId="0" fontId="17" fillId="8" borderId="22" xfId="0" applyFont="1" applyFill="1" applyBorder="1" applyAlignment="1">
      <alignment horizontal="left" vertical="top" wrapText="1"/>
    </xf>
    <xf numFmtId="0" fontId="17" fillId="8" borderId="10" xfId="0" applyFont="1" applyFill="1" applyBorder="1" applyAlignment="1">
      <alignment horizontal="left" vertical="top" wrapText="1"/>
    </xf>
    <xf numFmtId="0" fontId="17" fillId="8" borderId="4" xfId="0" applyFont="1" applyFill="1" applyBorder="1" applyAlignment="1">
      <alignment horizontal="left" vertical="center" wrapText="1"/>
    </xf>
    <xf numFmtId="0" fontId="17" fillId="8" borderId="0" xfId="0" applyFont="1" applyFill="1" applyAlignment="1">
      <alignment horizontal="left" vertical="center" wrapText="1"/>
    </xf>
    <xf numFmtId="0" fontId="0" fillId="8" borderId="4" xfId="0" applyFill="1" applyBorder="1" applyAlignment="1">
      <alignment horizontal="left" vertical="top" wrapText="1"/>
    </xf>
    <xf numFmtId="0" fontId="0" fillId="8" borderId="0" xfId="0" applyFill="1" applyAlignment="1">
      <alignment horizontal="left" vertical="top" wrapText="1"/>
    </xf>
    <xf numFmtId="0" fontId="2" fillId="8" borderId="2" xfId="0" applyFont="1" applyFill="1" applyBorder="1" applyAlignment="1">
      <alignment horizontal="center" vertical="top" wrapText="1"/>
    </xf>
    <xf numFmtId="0" fontId="2" fillId="8" borderId="34" xfId="0" applyFont="1" applyFill="1" applyBorder="1" applyAlignment="1">
      <alignment horizontal="center" vertical="top" wrapText="1"/>
    </xf>
    <xf numFmtId="0" fontId="2" fillId="8" borderId="3" xfId="0" applyFont="1" applyFill="1" applyBorder="1" applyAlignment="1">
      <alignment horizontal="center" vertical="top" wrapText="1"/>
    </xf>
    <xf numFmtId="0" fontId="2" fillId="8" borderId="4" xfId="0" applyFont="1" applyFill="1" applyBorder="1" applyAlignment="1">
      <alignment horizontal="center" vertical="top" wrapText="1"/>
    </xf>
    <xf numFmtId="0" fontId="2" fillId="8" borderId="0" xfId="0" applyFont="1" applyFill="1" applyAlignment="1">
      <alignment horizontal="center" vertical="top" wrapText="1"/>
    </xf>
    <xf numFmtId="0" fontId="2" fillId="8" borderId="7" xfId="0" applyFont="1" applyFill="1" applyBorder="1" applyAlignment="1">
      <alignment horizontal="center" vertical="top" wrapText="1"/>
    </xf>
    <xf numFmtId="0" fontId="17" fillId="8" borderId="0" xfId="0" applyFont="1" applyFill="1" applyAlignment="1">
      <alignment horizontal="left" vertical="top" wrapText="1"/>
    </xf>
    <xf numFmtId="0" fontId="17" fillId="8" borderId="4" xfId="0" applyFont="1" applyFill="1" applyBorder="1" applyAlignment="1">
      <alignment horizontal="left" vertical="center"/>
    </xf>
    <xf numFmtId="0" fontId="17" fillId="8" borderId="0" xfId="0" applyFont="1" applyFill="1" applyAlignment="1">
      <alignment horizontal="left" vertical="center"/>
    </xf>
    <xf numFmtId="0" fontId="17" fillId="17" borderId="10" xfId="0" applyFont="1" applyFill="1" applyBorder="1" applyAlignment="1">
      <alignment vertical="center"/>
    </xf>
    <xf numFmtId="0" fontId="0" fillId="8" borderId="4" xfId="0" applyFill="1" applyBorder="1" applyAlignment="1">
      <alignment horizontal="left" vertical="top"/>
    </xf>
    <xf numFmtId="0" fontId="0" fillId="8" borderId="0" xfId="0" applyFill="1" applyAlignment="1">
      <alignment horizontal="left" vertical="top"/>
    </xf>
    <xf numFmtId="0" fontId="17" fillId="8" borderId="22" xfId="0" applyFont="1" applyFill="1" applyBorder="1" applyAlignment="1">
      <alignment horizontal="left" vertical="top"/>
    </xf>
    <xf numFmtId="0" fontId="17" fillId="8" borderId="10" xfId="0" applyFont="1" applyFill="1" applyBorder="1" applyAlignment="1">
      <alignment horizontal="left" vertical="top"/>
    </xf>
    <xf numFmtId="0" fontId="0" fillId="8" borderId="0" xfId="0" applyFill="1" applyAlignment="1">
      <alignment horizontal="left" wrapText="1"/>
    </xf>
    <xf numFmtId="0" fontId="1" fillId="0" borderId="35" xfId="0" applyFont="1" applyBorder="1" applyAlignment="1">
      <alignment horizontal="left"/>
    </xf>
    <xf numFmtId="0" fontId="1" fillId="0" borderId="38" xfId="0" applyFont="1" applyBorder="1" applyAlignment="1">
      <alignment horizontal="left"/>
    </xf>
    <xf numFmtId="0" fontId="0" fillId="0" borderId="23" xfId="0" applyBorder="1" applyAlignment="1">
      <alignment horizontal="left" vertical="top" wrapText="1"/>
    </xf>
    <xf numFmtId="0" fontId="0" fillId="0" borderId="39" xfId="0" applyBorder="1" applyAlignment="1">
      <alignment horizontal="left" vertical="top" wrapText="1"/>
    </xf>
    <xf numFmtId="0" fontId="5" fillId="8" borderId="0" xfId="0" applyFont="1" applyFill="1" applyAlignment="1">
      <alignment horizontal="left" vertical="top" wrapText="1"/>
    </xf>
    <xf numFmtId="0" fontId="1" fillId="8" borderId="0" xfId="0" applyFont="1" applyFill="1" applyAlignment="1">
      <alignment horizontal="left" vertical="top" wrapText="1"/>
    </xf>
    <xf numFmtId="0" fontId="0" fillId="0" borderId="23" xfId="0" applyBorder="1" applyAlignment="1">
      <alignment horizontal="left" wrapText="1"/>
    </xf>
    <xf numFmtId="0" fontId="0" fillId="0" borderId="39" xfId="0" applyBorder="1" applyAlignment="1">
      <alignment horizontal="left" wrapText="1"/>
    </xf>
    <xf numFmtId="0" fontId="0" fillId="0" borderId="25" xfId="0" applyBorder="1" applyAlignment="1">
      <alignment horizontal="left" wrapText="1"/>
    </xf>
    <xf numFmtId="0" fontId="0" fillId="0" borderId="40" xfId="0" applyBorder="1" applyAlignment="1">
      <alignment horizontal="left" wrapText="1"/>
    </xf>
    <xf numFmtId="0" fontId="2" fillId="8" borderId="16" xfId="0" applyFont="1" applyFill="1" applyBorder="1" applyAlignment="1">
      <alignment horizontal="left" vertical="top" wrapText="1"/>
    </xf>
    <xf numFmtId="0" fontId="2" fillId="8" borderId="0" xfId="0" applyFont="1" applyFill="1" applyAlignment="1">
      <alignment horizontal="left" vertical="top" wrapText="1"/>
    </xf>
    <xf numFmtId="0" fontId="1" fillId="8" borderId="0" xfId="0" applyFont="1" applyFill="1" applyAlignment="1">
      <alignment horizontal="left" wrapText="1"/>
    </xf>
    <xf numFmtId="0" fontId="1" fillId="0" borderId="42" xfId="0" applyFont="1" applyBorder="1" applyAlignment="1">
      <alignment horizontal="center" wrapText="1"/>
    </xf>
    <xf numFmtId="0" fontId="1" fillId="0" borderId="41" xfId="0" applyFont="1" applyBorder="1" applyAlignment="1">
      <alignment horizontal="center" wrapText="1"/>
    </xf>
    <xf numFmtId="0" fontId="1" fillId="0" borderId="35" xfId="0" applyFont="1" applyBorder="1" applyAlignment="1">
      <alignment horizontal="left" vertical="center" wrapText="1"/>
    </xf>
    <xf numFmtId="0" fontId="1" fillId="0" borderId="38" xfId="0" applyFont="1" applyBorder="1" applyAlignment="1">
      <alignment horizontal="left" vertical="center" wrapText="1"/>
    </xf>
    <xf numFmtId="0" fontId="1" fillId="0" borderId="35" xfId="0" applyFont="1" applyBorder="1" applyAlignment="1">
      <alignment horizontal="center" wrapText="1"/>
    </xf>
    <xf numFmtId="0" fontId="1" fillId="0" borderId="37" xfId="0" applyFont="1" applyBorder="1" applyAlignment="1">
      <alignment horizontal="center" wrapText="1"/>
    </xf>
    <xf numFmtId="0" fontId="0" fillId="4" borderId="23" xfId="0" applyFill="1" applyBorder="1" applyAlignment="1">
      <alignment horizontal="right" vertical="center"/>
    </xf>
    <xf numFmtId="0" fontId="0" fillId="4" borderId="24" xfId="0" applyFill="1" applyBorder="1" applyAlignment="1">
      <alignment horizontal="right" vertical="center"/>
    </xf>
    <xf numFmtId="0" fontId="0" fillId="2" borderId="23" xfId="0" applyFill="1" applyBorder="1" applyAlignment="1">
      <alignment horizontal="right" vertical="center"/>
    </xf>
    <xf numFmtId="0" fontId="0" fillId="2" borderId="24" xfId="0" applyFill="1" applyBorder="1" applyAlignment="1">
      <alignment horizontal="right" vertical="center"/>
    </xf>
    <xf numFmtId="0" fontId="0" fillId="7" borderId="23" xfId="0" applyFill="1" applyBorder="1" applyAlignment="1">
      <alignment horizontal="right" vertical="center"/>
    </xf>
    <xf numFmtId="0" fontId="0" fillId="7" borderId="25" xfId="0" applyFill="1" applyBorder="1" applyAlignment="1">
      <alignment horizontal="right" vertical="center"/>
    </xf>
    <xf numFmtId="0" fontId="0" fillId="7" borderId="24" xfId="0" applyFill="1" applyBorder="1" applyAlignment="1">
      <alignment horizontal="right" vertical="center"/>
    </xf>
    <xf numFmtId="0" fontId="0" fillId="7" borderId="40" xfId="0" applyFill="1" applyBorder="1" applyAlignment="1">
      <alignment horizontal="right" vertical="center"/>
    </xf>
    <xf numFmtId="0" fontId="4" fillId="3" borderId="23" xfId="0" applyFont="1" applyFill="1" applyBorder="1" applyAlignment="1">
      <alignment horizontal="left" vertical="center" wrapText="1"/>
    </xf>
    <xf numFmtId="0" fontId="4" fillId="3" borderId="39"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40" xfId="0" applyFont="1" applyFill="1" applyBorder="1" applyAlignment="1">
      <alignment horizontal="left" vertical="center" wrapText="1"/>
    </xf>
    <xf numFmtId="0" fontId="0" fillId="8" borderId="16" xfId="0" applyFill="1" applyBorder="1" applyAlignment="1">
      <alignment horizontal="left" vertical="center" wrapText="1"/>
    </xf>
    <xf numFmtId="0" fontId="0" fillId="8" borderId="0" xfId="0" applyFill="1" applyAlignment="1">
      <alignment horizontal="left" vertical="center" wrapText="1"/>
    </xf>
    <xf numFmtId="0" fontId="1" fillId="8" borderId="0" xfId="0" applyFont="1" applyFill="1" applyAlignment="1">
      <alignment horizontal="left" vertical="center" wrapText="1"/>
    </xf>
    <xf numFmtId="0" fontId="1" fillId="8" borderId="0" xfId="0" applyFont="1" applyFill="1" applyAlignment="1">
      <alignment horizontal="left" vertical="center"/>
    </xf>
    <xf numFmtId="0" fontId="0" fillId="0" borderId="1"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7" borderId="61" xfId="0" applyFill="1" applyBorder="1" applyAlignment="1">
      <alignment horizontal="right" vertical="center"/>
    </xf>
    <xf numFmtId="0" fontId="0" fillId="7" borderId="73" xfId="0" applyFill="1" applyBorder="1" applyAlignment="1">
      <alignment horizontal="right" vertical="center"/>
    </xf>
    <xf numFmtId="0" fontId="0" fillId="7" borderId="27" xfId="0" applyFill="1" applyBorder="1" applyAlignment="1">
      <alignment horizontal="right" vertical="center"/>
    </xf>
    <xf numFmtId="0" fontId="1" fillId="0" borderId="42" xfId="0" applyFont="1" applyBorder="1" applyAlignment="1">
      <alignment horizontal="left"/>
    </xf>
    <xf numFmtId="0" fontId="1" fillId="0" borderId="43" xfId="0" applyFont="1" applyBorder="1" applyAlignment="1">
      <alignment horizontal="left"/>
    </xf>
    <xf numFmtId="0" fontId="1" fillId="0" borderId="41" xfId="0" applyFont="1" applyBorder="1" applyAlignment="1">
      <alignment horizontal="left"/>
    </xf>
    <xf numFmtId="0" fontId="1" fillId="0" borderId="66" xfId="0" applyFont="1" applyBorder="1" applyAlignment="1">
      <alignment horizontal="center" wrapText="1"/>
    </xf>
    <xf numFmtId="0" fontId="0" fillId="4" borderId="61" xfId="0" applyFill="1" applyBorder="1" applyAlignment="1">
      <alignment horizontal="right" vertical="center"/>
    </xf>
    <xf numFmtId="0" fontId="0" fillId="6" borderId="61" xfId="0" applyFill="1" applyBorder="1" applyAlignment="1">
      <alignment horizontal="right" vertical="center"/>
    </xf>
    <xf numFmtId="0" fontId="0" fillId="6" borderId="24" xfId="0" applyFill="1" applyBorder="1" applyAlignment="1">
      <alignment horizontal="right" vertical="center"/>
    </xf>
    <xf numFmtId="0" fontId="0" fillId="0" borderId="23" xfId="0" applyBorder="1" applyAlignment="1">
      <alignment horizontal="left"/>
    </xf>
    <xf numFmtId="0" fontId="0" fillId="0" borderId="1" xfId="0" applyBorder="1" applyAlignment="1">
      <alignment horizontal="left"/>
    </xf>
    <xf numFmtId="0" fontId="0" fillId="0" borderId="24" xfId="0" applyBorder="1" applyAlignment="1">
      <alignment horizontal="left"/>
    </xf>
    <xf numFmtId="0" fontId="0" fillId="0" borderId="1" xfId="0" applyBorder="1" applyAlignment="1">
      <alignment horizontal="left" vertical="top"/>
    </xf>
    <xf numFmtId="0" fontId="0" fillId="0" borderId="24" xfId="0" applyBorder="1" applyAlignment="1">
      <alignment horizontal="left" vertical="top"/>
    </xf>
    <xf numFmtId="0" fontId="0" fillId="0" borderId="23" xfId="0" applyBorder="1" applyAlignment="1">
      <alignment horizontal="left" vertical="top"/>
    </xf>
    <xf numFmtId="0" fontId="11" fillId="8" borderId="0" xfId="0" applyFont="1" applyFill="1" applyAlignment="1">
      <alignment horizontal="center"/>
    </xf>
    <xf numFmtId="0" fontId="15" fillId="8" borderId="16" xfId="0" applyFont="1" applyFill="1" applyBorder="1" applyAlignment="1">
      <alignment horizontal="left" vertical="top" wrapText="1"/>
    </xf>
    <xf numFmtId="0" fontId="15" fillId="8" borderId="0" xfId="0" applyFont="1" applyFill="1" applyAlignment="1">
      <alignment horizontal="left" vertical="top" wrapText="1"/>
    </xf>
    <xf numFmtId="0" fontId="17" fillId="17" borderId="0" xfId="0" applyFont="1" applyFill="1" applyAlignment="1">
      <alignment vertical="center"/>
    </xf>
    <xf numFmtId="0" fontId="1" fillId="0" borderId="31" xfId="0" applyFont="1" applyBorder="1" applyAlignment="1">
      <alignment horizontal="justify" vertical="center" wrapText="1"/>
    </xf>
    <xf numFmtId="0" fontId="1" fillId="0" borderId="33" xfId="0" applyFont="1" applyBorder="1" applyAlignment="1">
      <alignment horizontal="justify" vertical="center" wrapText="1"/>
    </xf>
    <xf numFmtId="0" fontId="1" fillId="0" borderId="31" xfId="0"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0" fontId="4" fillId="3" borderId="28"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3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4" borderId="28" xfId="0" applyFont="1" applyFill="1" applyBorder="1" applyAlignment="1">
      <alignment horizontal="right" vertical="center" wrapText="1"/>
    </xf>
    <xf numFmtId="0" fontId="4" fillId="4" borderId="23" xfId="0" applyFont="1" applyFill="1" applyBorder="1" applyAlignment="1">
      <alignment horizontal="right" vertical="center" wrapText="1"/>
    </xf>
    <xf numFmtId="0" fontId="4" fillId="4" borderId="30" xfId="0" applyFont="1" applyFill="1" applyBorder="1" applyAlignment="1">
      <alignment horizontal="right" vertical="center" wrapText="1"/>
    </xf>
    <xf numFmtId="0" fontId="4" fillId="4" borderId="24" xfId="0" applyFont="1" applyFill="1" applyBorder="1" applyAlignment="1">
      <alignment horizontal="right" vertical="center" wrapText="1"/>
    </xf>
    <xf numFmtId="0" fontId="4" fillId="5" borderId="23" xfId="0" applyFont="1" applyFill="1" applyBorder="1" applyAlignment="1">
      <alignment horizontal="right" vertical="center" wrapText="1"/>
    </xf>
    <xf numFmtId="0" fontId="4" fillId="5" borderId="24" xfId="0" applyFont="1" applyFill="1" applyBorder="1" applyAlignment="1">
      <alignment horizontal="right" vertical="center" wrapText="1"/>
    </xf>
    <xf numFmtId="0" fontId="4" fillId="2" borderId="23"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10" borderId="23" xfId="0" applyFont="1" applyFill="1" applyBorder="1" applyAlignment="1">
      <alignment horizontal="right" vertical="center" wrapText="1"/>
    </xf>
    <xf numFmtId="0" fontId="4" fillId="10" borderId="25" xfId="0" applyFont="1" applyFill="1" applyBorder="1" applyAlignment="1">
      <alignment horizontal="right" vertical="center" wrapText="1"/>
    </xf>
    <xf numFmtId="0" fontId="4" fillId="10" borderId="24" xfId="0" applyFont="1" applyFill="1" applyBorder="1" applyAlignment="1">
      <alignment horizontal="right" vertical="center" wrapText="1"/>
    </xf>
    <xf numFmtId="0" fontId="4" fillId="10" borderId="27" xfId="0" applyFont="1" applyFill="1" applyBorder="1" applyAlignment="1">
      <alignment horizontal="right" vertical="center" wrapText="1"/>
    </xf>
    <xf numFmtId="0" fontId="0" fillId="8" borderId="0" xfId="0" applyFill="1" applyAlignment="1">
      <alignment horizontal="center"/>
    </xf>
    <xf numFmtId="0" fontId="4" fillId="6" borderId="23" xfId="0" applyFont="1" applyFill="1" applyBorder="1" applyAlignment="1">
      <alignment horizontal="right" vertical="center" wrapText="1"/>
    </xf>
    <xf numFmtId="0" fontId="4" fillId="6" borderId="24" xfId="0" applyFont="1" applyFill="1" applyBorder="1" applyAlignment="1">
      <alignment horizontal="right" vertical="center" wrapText="1"/>
    </xf>
    <xf numFmtId="0" fontId="5" fillId="8" borderId="0" xfId="0" applyFont="1" applyFill="1" applyAlignment="1">
      <alignment horizontal="center" vertical="top" wrapText="1"/>
    </xf>
    <xf numFmtId="0" fontId="0" fillId="8" borderId="0" xfId="0" applyFill="1" applyAlignment="1">
      <alignment horizontal="left"/>
    </xf>
    <xf numFmtId="0" fontId="0" fillId="0" borderId="2" xfId="0" applyBorder="1" applyAlignment="1">
      <alignment horizontal="left" wrapText="1"/>
    </xf>
    <xf numFmtId="0" fontId="0" fillId="0" borderId="34"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0" xfId="0"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49" xfId="0" applyBorder="1" applyAlignment="1">
      <alignment horizontal="left" wrapText="1"/>
    </xf>
    <xf numFmtId="0" fontId="0" fillId="0" borderId="9" xfId="0" applyBorder="1" applyAlignment="1">
      <alignment horizontal="left" wrapText="1"/>
    </xf>
    <xf numFmtId="0" fontId="1" fillId="0" borderId="62" xfId="0" applyFont="1" applyBorder="1" applyAlignment="1">
      <alignment horizontal="left"/>
    </xf>
    <xf numFmtId="0" fontId="1" fillId="0" borderId="63" xfId="0" applyFont="1" applyBorder="1" applyAlignment="1">
      <alignment horizontal="left"/>
    </xf>
    <xf numFmtId="0" fontId="1" fillId="0" borderId="64" xfId="0" applyFont="1" applyBorder="1" applyAlignment="1">
      <alignment horizontal="left"/>
    </xf>
    <xf numFmtId="0" fontId="1" fillId="0" borderId="87" xfId="0" applyFont="1" applyBorder="1" applyAlignment="1">
      <alignment horizontal="center" wrapText="1"/>
    </xf>
    <xf numFmtId="0" fontId="1" fillId="0" borderId="47" xfId="0" applyFont="1" applyBorder="1" applyAlignment="1">
      <alignment horizontal="center" wrapText="1"/>
    </xf>
    <xf numFmtId="0" fontId="1" fillId="0" borderId="87" xfId="0" applyFont="1" applyBorder="1" applyAlignment="1">
      <alignment horizontal="left"/>
    </xf>
    <xf numFmtId="0" fontId="1" fillId="0" borderId="46" xfId="0" applyFont="1" applyBorder="1" applyAlignment="1">
      <alignment horizontal="left"/>
    </xf>
    <xf numFmtId="0" fontId="1" fillId="0" borderId="70" xfId="0" applyFont="1" applyBorder="1" applyAlignment="1">
      <alignment horizontal="left"/>
    </xf>
    <xf numFmtId="0" fontId="0" fillId="0" borderId="35" xfId="0" applyBorder="1" applyAlignment="1">
      <alignment horizontal="left" wrapText="1"/>
    </xf>
    <xf numFmtId="0" fontId="0" fillId="0" borderId="36" xfId="0" applyBorder="1" applyAlignment="1">
      <alignment horizontal="left" wrapText="1"/>
    </xf>
    <xf numFmtId="0" fontId="0" fillId="0" borderId="1" xfId="0" applyBorder="1" applyAlignment="1">
      <alignment horizontal="left" wrapText="1"/>
    </xf>
    <xf numFmtId="0" fontId="0" fillId="0" borderId="26" xfId="0" applyBorder="1" applyAlignment="1">
      <alignment horizontal="left" wrapText="1"/>
    </xf>
    <xf numFmtId="0" fontId="0" fillId="4" borderId="36" xfId="0" applyFill="1" applyBorder="1" applyAlignment="1">
      <alignment horizontal="right" vertical="center"/>
    </xf>
    <xf numFmtId="0" fontId="0" fillId="4" borderId="1" xfId="0" applyFill="1" applyBorder="1" applyAlignment="1">
      <alignment horizontal="right" vertical="center"/>
    </xf>
    <xf numFmtId="0" fontId="0" fillId="4" borderId="37" xfId="0" applyFill="1" applyBorder="1" applyAlignment="1">
      <alignment horizontal="right" vertical="center"/>
    </xf>
    <xf numFmtId="0" fontId="0" fillId="2" borderId="1" xfId="0" applyFill="1" applyBorder="1" applyAlignment="1">
      <alignment horizontal="right" vertical="center"/>
    </xf>
    <xf numFmtId="0" fontId="0" fillId="7" borderId="1" xfId="0" applyFill="1" applyBorder="1" applyAlignment="1">
      <alignment horizontal="right" vertical="center"/>
    </xf>
    <xf numFmtId="0" fontId="0" fillId="7" borderId="26" xfId="0" applyFill="1" applyBorder="1" applyAlignment="1">
      <alignment horizontal="right" vertical="center"/>
    </xf>
    <xf numFmtId="0" fontId="0" fillId="5" borderId="6" xfId="0" applyFill="1" applyBorder="1" applyAlignment="1">
      <alignment horizontal="right" vertical="center"/>
    </xf>
    <xf numFmtId="0" fontId="0" fillId="5" borderId="7" xfId="0" applyFill="1" applyBorder="1" applyAlignment="1">
      <alignment horizontal="right" vertical="center"/>
    </xf>
    <xf numFmtId="0" fontId="0" fillId="17" borderId="16" xfId="0" applyFill="1" applyBorder="1"/>
    <xf numFmtId="0" fontId="0" fillId="17" borderId="0" xfId="0" applyFill="1"/>
    <xf numFmtId="0" fontId="0" fillId="17" borderId="17" xfId="0" applyFill="1" applyBorder="1"/>
    <xf numFmtId="0" fontId="0" fillId="0" borderId="53" xfId="0" applyBorder="1" applyAlignment="1">
      <alignment horizontal="left" vertical="top" wrapText="1"/>
    </xf>
    <xf numFmtId="0" fontId="0" fillId="0" borderId="11" xfId="0" applyBorder="1" applyAlignment="1">
      <alignment horizontal="left" vertical="top"/>
    </xf>
    <xf numFmtId="0" fontId="0" fillId="0" borderId="6" xfId="0" applyBorder="1" applyAlignment="1">
      <alignment horizontal="left" vertical="top"/>
    </xf>
    <xf numFmtId="0" fontId="0" fillId="0" borderId="4"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5" borderId="52" xfId="0" applyFill="1" applyBorder="1" applyAlignment="1">
      <alignment horizontal="right" vertical="center"/>
    </xf>
    <xf numFmtId="0" fontId="0" fillId="5" borderId="28" xfId="0" applyFill="1" applyBorder="1" applyAlignment="1">
      <alignment horizontal="right" vertical="center"/>
    </xf>
    <xf numFmtId="0" fontId="1" fillId="0" borderId="86" xfId="0" applyFont="1" applyBorder="1" applyAlignment="1">
      <alignment horizontal="center" wrapText="1"/>
    </xf>
    <xf numFmtId="0" fontId="1" fillId="0" borderId="33" xfId="0" applyFont="1" applyBorder="1" applyAlignment="1">
      <alignment horizontal="center" wrapText="1"/>
    </xf>
    <xf numFmtId="0" fontId="1" fillId="0" borderId="31" xfId="0" applyFont="1" applyBorder="1" applyAlignment="1">
      <alignment horizontal="left"/>
    </xf>
    <xf numFmtId="0" fontId="1" fillId="0" borderId="32" xfId="0" applyFont="1" applyBorder="1" applyAlignment="1">
      <alignment horizontal="left"/>
    </xf>
    <xf numFmtId="0" fontId="1" fillId="0" borderId="33" xfId="0" applyFont="1"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17" borderId="12" xfId="0" applyFill="1" applyBorder="1"/>
    <xf numFmtId="0" fontId="0" fillId="17" borderId="11" xfId="0" applyFill="1" applyBorder="1"/>
    <xf numFmtId="0" fontId="0" fillId="17" borderId="13" xfId="0" applyFill="1" applyBorder="1"/>
    <xf numFmtId="0" fontId="0" fillId="17" borderId="12" xfId="0" applyFill="1" applyBorder="1" applyAlignment="1">
      <alignment horizontal="left" vertical="top" wrapText="1"/>
    </xf>
    <xf numFmtId="0" fontId="0" fillId="17" borderId="11" xfId="0" applyFill="1" applyBorder="1" applyAlignment="1">
      <alignment horizontal="left" vertical="top" wrapText="1"/>
    </xf>
    <xf numFmtId="0" fontId="0" fillId="17" borderId="14" xfId="0" applyFill="1" applyBorder="1" applyAlignment="1">
      <alignment horizontal="left" vertical="top" wrapText="1"/>
    </xf>
    <xf numFmtId="0" fontId="0" fillId="17" borderId="10" xfId="0" applyFill="1" applyBorder="1" applyAlignment="1">
      <alignment horizontal="left" vertical="top" wrapText="1"/>
    </xf>
    <xf numFmtId="0" fontId="0" fillId="0" borderId="2" xfId="0" applyBorder="1" applyAlignment="1">
      <alignment horizontal="left" vertical="top" wrapText="1"/>
    </xf>
    <xf numFmtId="0" fontId="0" fillId="0" borderId="34"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49" xfId="0" applyBorder="1" applyAlignment="1">
      <alignment horizontal="left" vertical="top" wrapText="1"/>
    </xf>
    <xf numFmtId="0" fontId="0" fillId="0" borderId="9" xfId="0" applyBorder="1" applyAlignment="1">
      <alignment horizontal="left" vertical="top" wrapText="1"/>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0" fillId="0" borderId="11" xfId="0" applyBorder="1" applyAlignment="1">
      <alignment horizontal="left" vertical="top" wrapText="1"/>
    </xf>
    <xf numFmtId="0" fontId="0" fillId="0" borderId="6" xfId="0" applyBorder="1" applyAlignment="1">
      <alignment horizontal="left" vertical="top" wrapText="1"/>
    </xf>
    <xf numFmtId="0" fontId="0" fillId="2" borderId="52" xfId="0" applyFill="1" applyBorder="1" applyAlignment="1">
      <alignment horizontal="right" vertical="center"/>
    </xf>
    <xf numFmtId="0" fontId="0" fillId="2" borderId="50" xfId="0" applyFill="1" applyBorder="1" applyAlignment="1">
      <alignment horizontal="right" vertical="center"/>
    </xf>
    <xf numFmtId="0" fontId="0" fillId="2" borderId="51" xfId="0" applyFill="1" applyBorder="1" applyAlignment="1">
      <alignment horizontal="right" vertical="center"/>
    </xf>
    <xf numFmtId="0" fontId="0" fillId="2" borderId="44" xfId="0" applyFill="1" applyBorder="1" applyAlignment="1">
      <alignment horizontal="right" vertical="center"/>
    </xf>
    <xf numFmtId="0" fontId="0" fillId="0" borderId="22" xfId="0" applyBorder="1" applyAlignment="1">
      <alignment horizontal="left" vertical="top" wrapText="1"/>
    </xf>
    <xf numFmtId="0" fontId="0" fillId="0" borderId="10" xfId="0" applyBorder="1" applyAlignment="1">
      <alignment horizontal="left" vertical="top" wrapText="1"/>
    </xf>
    <xf numFmtId="0" fontId="0" fillId="0" borderId="5" xfId="0" applyBorder="1" applyAlignment="1">
      <alignment horizontal="left" vertical="top" wrapText="1"/>
    </xf>
    <xf numFmtId="0" fontId="0" fillId="6" borderId="52" xfId="0" applyFill="1" applyBorder="1" applyAlignment="1">
      <alignment horizontal="right" vertical="center"/>
    </xf>
    <xf numFmtId="0" fontId="0" fillId="6" borderId="28" xfId="0" applyFill="1" applyBorder="1" applyAlignment="1">
      <alignment horizontal="right" vertical="center"/>
    </xf>
    <xf numFmtId="0" fontId="0" fillId="6" borderId="51" xfId="0" applyFill="1" applyBorder="1" applyAlignment="1">
      <alignment horizontal="right" vertical="center"/>
    </xf>
    <xf numFmtId="0" fontId="0" fillId="6" borderId="30" xfId="0" applyFill="1" applyBorder="1" applyAlignment="1">
      <alignment horizontal="right" vertical="center"/>
    </xf>
    <xf numFmtId="0" fontId="0" fillId="6" borderId="44" xfId="0" applyFill="1" applyBorder="1" applyAlignment="1">
      <alignment horizontal="right" vertical="center"/>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68" xfId="0" applyBorder="1" applyAlignment="1">
      <alignment horizontal="left" vertical="top" wrapText="1"/>
    </xf>
    <xf numFmtId="0" fontId="0" fillId="7" borderId="65" xfId="0" applyFill="1" applyBorder="1" applyAlignment="1">
      <alignment horizontal="right" vertical="center"/>
    </xf>
    <xf numFmtId="0" fontId="0" fillId="7" borderId="67" xfId="0" applyFill="1" applyBorder="1" applyAlignment="1">
      <alignment horizontal="right" vertical="center"/>
    </xf>
    <xf numFmtId="0" fontId="0" fillId="7" borderId="69" xfId="0" applyFill="1" applyBorder="1" applyAlignment="1">
      <alignment horizontal="right" vertical="center"/>
    </xf>
    <xf numFmtId="0" fontId="0" fillId="7" borderId="51" xfId="0" applyFill="1" applyBorder="1" applyAlignment="1">
      <alignment horizontal="right" vertical="center"/>
    </xf>
    <xf numFmtId="0" fontId="0" fillId="7" borderId="44" xfId="0" applyFill="1" applyBorder="1" applyAlignment="1">
      <alignment horizontal="right" vertical="center"/>
    </xf>
    <xf numFmtId="0" fontId="0" fillId="7" borderId="54" xfId="0" applyFill="1" applyBorder="1" applyAlignment="1">
      <alignment horizontal="right" vertical="center"/>
    </xf>
    <xf numFmtId="0" fontId="0" fillId="0" borderId="40" xfId="0" applyBorder="1" applyAlignment="1">
      <alignment horizontal="left"/>
    </xf>
    <xf numFmtId="0" fontId="1" fillId="0" borderId="2" xfId="0" applyFont="1" applyBorder="1" applyAlignment="1">
      <alignment horizontal="left" wrapText="1"/>
    </xf>
    <xf numFmtId="0" fontId="1" fillId="0" borderId="34" xfId="0" applyFont="1" applyBorder="1" applyAlignment="1">
      <alignment horizontal="left" wrapText="1"/>
    </xf>
    <xf numFmtId="0" fontId="1" fillId="0" borderId="71" xfId="0" applyFont="1" applyBorder="1" applyAlignment="1">
      <alignment horizontal="left" wrapText="1"/>
    </xf>
    <xf numFmtId="0" fontId="1" fillId="0" borderId="22" xfId="0" applyFont="1" applyBorder="1" applyAlignment="1">
      <alignment horizontal="left" wrapText="1"/>
    </xf>
    <xf numFmtId="0" fontId="1" fillId="0" borderId="10" xfId="0" applyFont="1" applyBorder="1" applyAlignment="1">
      <alignment horizontal="left" wrapText="1"/>
    </xf>
    <xf numFmtId="0" fontId="1" fillId="0" borderId="15" xfId="0" applyFont="1" applyBorder="1" applyAlignment="1">
      <alignment horizontal="left" wrapText="1"/>
    </xf>
    <xf numFmtId="0" fontId="1" fillId="0" borderId="7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0" fillId="0" borderId="18" xfId="0" applyBorder="1" applyAlignment="1">
      <alignment horizontal="left"/>
    </xf>
    <xf numFmtId="0" fontId="0" fillId="0" borderId="72" xfId="0" applyBorder="1" applyAlignment="1">
      <alignment horizontal="left"/>
    </xf>
    <xf numFmtId="0" fontId="0" fillId="0" borderId="73" xfId="0" applyBorder="1" applyAlignment="1">
      <alignment horizontal="left"/>
    </xf>
    <xf numFmtId="0" fontId="1" fillId="0" borderId="66" xfId="0" applyFont="1" applyBorder="1" applyAlignment="1">
      <alignment horizontal="left"/>
    </xf>
    <xf numFmtId="0" fontId="1" fillId="0" borderId="88" xfId="0" applyFont="1" applyBorder="1" applyAlignment="1">
      <alignment horizontal="center" wrapText="1"/>
    </xf>
    <xf numFmtId="0" fontId="1" fillId="0" borderId="64" xfId="0" applyFont="1" applyBorder="1" applyAlignment="1">
      <alignment horizontal="center" wrapText="1"/>
    </xf>
    <xf numFmtId="0" fontId="0" fillId="0" borderId="53" xfId="0" applyBorder="1" applyAlignment="1">
      <alignment horizontal="left" wrapText="1"/>
    </xf>
    <xf numFmtId="0" fontId="0" fillId="0" borderId="11" xfId="0" applyBorder="1" applyAlignment="1">
      <alignment horizontal="left" wrapText="1"/>
    </xf>
    <xf numFmtId="0" fontId="0" fillId="0" borderId="6" xfId="0" applyBorder="1" applyAlignment="1">
      <alignment horizontal="left" wrapText="1"/>
    </xf>
    <xf numFmtId="0" fontId="0" fillId="0" borderId="22" xfId="0" applyBorder="1" applyAlignment="1">
      <alignment horizontal="left" wrapText="1"/>
    </xf>
    <xf numFmtId="0" fontId="0" fillId="0" borderId="10" xfId="0" applyBorder="1" applyAlignment="1">
      <alignment horizontal="left" wrapText="1"/>
    </xf>
    <xf numFmtId="0" fontId="0" fillId="0" borderId="5" xfId="0" applyBorder="1" applyAlignment="1">
      <alignment horizontal="left" wrapText="1"/>
    </xf>
    <xf numFmtId="0" fontId="0" fillId="2" borderId="28" xfId="0" applyFill="1" applyBorder="1" applyAlignment="1">
      <alignment horizontal="right" vertical="center"/>
    </xf>
    <xf numFmtId="0" fontId="0" fillId="2" borderId="30" xfId="0" applyFill="1" applyBorder="1" applyAlignment="1">
      <alignment horizontal="right" vertical="center"/>
    </xf>
    <xf numFmtId="0" fontId="17" fillId="17" borderId="39" xfId="0" applyFont="1" applyFill="1" applyBorder="1" applyAlignment="1">
      <alignment vertical="center"/>
    </xf>
    <xf numFmtId="0" fontId="17" fillId="17" borderId="60" xfId="0" applyFont="1" applyFill="1" applyBorder="1" applyAlignment="1">
      <alignment vertical="center"/>
    </xf>
    <xf numFmtId="0" fontId="17" fillId="17" borderId="61" xfId="0" applyFont="1" applyFill="1" applyBorder="1" applyAlignment="1">
      <alignment vertical="center"/>
    </xf>
    <xf numFmtId="0" fontId="0" fillId="0" borderId="48" xfId="0" applyBorder="1" applyAlignment="1">
      <alignment horizontal="left"/>
    </xf>
    <xf numFmtId="0" fontId="0" fillId="0" borderId="60" xfId="0" applyBorder="1" applyAlignment="1">
      <alignment horizontal="left"/>
    </xf>
    <xf numFmtId="0" fontId="0" fillId="0" borderId="61" xfId="0" applyBorder="1" applyAlignment="1">
      <alignment horizontal="left"/>
    </xf>
    <xf numFmtId="0" fontId="5" fillId="8" borderId="0" xfId="0" applyFont="1" applyFill="1" applyAlignment="1">
      <alignment vertical="top" wrapText="1"/>
    </xf>
    <xf numFmtId="0" fontId="0" fillId="8" borderId="11" xfId="0" applyFill="1" applyBorder="1" applyAlignment="1">
      <alignment horizontal="center"/>
    </xf>
    <xf numFmtId="0" fontId="0" fillId="8" borderId="16" xfId="0" applyFill="1" applyBorder="1" applyAlignment="1">
      <alignment horizontal="left" vertical="top" wrapText="1"/>
    </xf>
    <xf numFmtId="0" fontId="1" fillId="0" borderId="36" xfId="0" applyFont="1" applyBorder="1" applyAlignment="1">
      <alignment horizontal="left"/>
    </xf>
    <xf numFmtId="0" fontId="0" fillId="0" borderId="23" xfId="0" applyBorder="1" applyAlignment="1">
      <alignment horizontal="left" vertical="center"/>
    </xf>
    <xf numFmtId="0" fontId="0" fillId="0" borderId="1" xfId="0" applyBorder="1" applyAlignment="1">
      <alignment horizontal="left" vertical="center"/>
    </xf>
    <xf numFmtId="0" fontId="0" fillId="0" borderId="25" xfId="0" applyBorder="1" applyAlignment="1">
      <alignment horizontal="left" vertical="top"/>
    </xf>
    <xf numFmtId="0" fontId="0" fillId="0" borderId="26" xfId="0" applyBorder="1" applyAlignment="1">
      <alignment horizontal="left" vertical="top"/>
    </xf>
    <xf numFmtId="0" fontId="0" fillId="6" borderId="1" xfId="0" applyFill="1" applyBorder="1" applyAlignment="1">
      <alignment horizontal="right" vertical="center"/>
    </xf>
    <xf numFmtId="0" fontId="1" fillId="0" borderId="36" xfId="0" applyFont="1" applyBorder="1" applyAlignment="1">
      <alignment horizontal="center" wrapText="1"/>
    </xf>
    <xf numFmtId="0" fontId="0" fillId="5" borderId="1" xfId="0" applyFill="1" applyBorder="1" applyAlignment="1">
      <alignment horizontal="right" vertical="center"/>
    </xf>
    <xf numFmtId="0" fontId="0" fillId="5" borderId="24" xfId="0" applyFill="1" applyBorder="1" applyAlignment="1">
      <alignment horizontal="right" vertical="center"/>
    </xf>
    <xf numFmtId="0" fontId="1" fillId="0" borderId="38" xfId="0" applyFont="1" applyBorder="1" applyAlignment="1">
      <alignment horizontal="center" wrapText="1"/>
    </xf>
    <xf numFmtId="0" fontId="0" fillId="4" borderId="65" xfId="0" applyFill="1" applyBorder="1" applyAlignment="1">
      <alignment horizontal="right" vertical="center"/>
    </xf>
    <xf numFmtId="0" fontId="0" fillId="4" borderId="67" xfId="0" applyFill="1" applyBorder="1" applyAlignment="1">
      <alignment horizontal="right" vertical="center"/>
    </xf>
    <xf numFmtId="0" fontId="0" fillId="4" borderId="29" xfId="0" applyFill="1" applyBorder="1" applyAlignment="1">
      <alignment horizontal="right" vertical="center"/>
    </xf>
    <xf numFmtId="0" fontId="0" fillId="4" borderId="51" xfId="0" applyFill="1" applyBorder="1" applyAlignment="1">
      <alignment horizontal="right" vertical="center"/>
    </xf>
    <xf numFmtId="0" fontId="0" fillId="4" borderId="44" xfId="0" applyFill="1" applyBorder="1" applyAlignment="1">
      <alignment horizontal="right" vertical="center"/>
    </xf>
    <xf numFmtId="0" fontId="0" fillId="4" borderId="30" xfId="0" applyFill="1" applyBorder="1" applyAlignment="1">
      <alignment horizontal="right" vertical="center"/>
    </xf>
    <xf numFmtId="0" fontId="0" fillId="0" borderId="15" xfId="0" applyBorder="1" applyAlignment="1">
      <alignment horizontal="left" vertical="top" wrapText="1"/>
    </xf>
    <xf numFmtId="0" fontId="0" fillId="4" borderId="87" xfId="0" applyFill="1" applyBorder="1" applyAlignment="1">
      <alignment horizontal="right" vertical="center"/>
    </xf>
    <xf numFmtId="0" fontId="0" fillId="4" borderId="50" xfId="0" applyFill="1" applyBorder="1" applyAlignment="1">
      <alignment horizontal="right" vertical="center"/>
    </xf>
    <xf numFmtId="0" fontId="0" fillId="4" borderId="28" xfId="0" applyFill="1" applyBorder="1" applyAlignment="1">
      <alignment horizontal="right" vertical="center"/>
    </xf>
    <xf numFmtId="0" fontId="0" fillId="4" borderId="47" xfId="0" applyFill="1" applyBorder="1" applyAlignment="1">
      <alignment horizontal="right" vertical="center"/>
    </xf>
    <xf numFmtId="0" fontId="1" fillId="0" borderId="42" xfId="0" applyFont="1" applyBorder="1" applyAlignment="1">
      <alignment horizontal="left" vertical="top"/>
    </xf>
    <xf numFmtId="0" fontId="1" fillId="0" borderId="43" xfId="0" applyFont="1" applyBorder="1" applyAlignment="1">
      <alignment horizontal="left" vertical="top"/>
    </xf>
    <xf numFmtId="0" fontId="1" fillId="0" borderId="66" xfId="0" applyFont="1" applyBorder="1" applyAlignment="1">
      <alignment horizontal="left" vertical="top"/>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29" xfId="0" applyFill="1" applyBorder="1" applyAlignment="1">
      <alignment horizontal="right" vertical="center"/>
    </xf>
    <xf numFmtId="0" fontId="0" fillId="0" borderId="13" xfId="0" applyBorder="1" applyAlignment="1">
      <alignment horizontal="left" wrapText="1"/>
    </xf>
    <xf numFmtId="0" fontId="0" fillId="0" borderId="17" xfId="0" applyBorder="1" applyAlignment="1">
      <alignment horizontal="left" wrapText="1"/>
    </xf>
    <xf numFmtId="0" fontId="0" fillId="0" borderId="15" xfId="0" applyBorder="1" applyAlignment="1">
      <alignment horizontal="left" wrapText="1"/>
    </xf>
    <xf numFmtId="0" fontId="0" fillId="6" borderId="65" xfId="0" applyFill="1" applyBorder="1" applyAlignment="1">
      <alignment horizontal="right" vertical="center"/>
    </xf>
    <xf numFmtId="0" fontId="0" fillId="6" borderId="67" xfId="0" applyFill="1" applyBorder="1" applyAlignment="1">
      <alignment horizontal="right" vertical="center"/>
    </xf>
    <xf numFmtId="0" fontId="0" fillId="6" borderId="29" xfId="0" applyFill="1" applyBorder="1" applyAlignment="1">
      <alignment horizontal="right" vertical="center"/>
    </xf>
    <xf numFmtId="0" fontId="1" fillId="0" borderId="2"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48" xfId="0" applyBorder="1" applyAlignment="1">
      <alignment horizontal="left" vertical="top" wrapText="1"/>
    </xf>
    <xf numFmtId="0" fontId="0" fillId="0" borderId="45" xfId="0" applyBorder="1" applyAlignment="1">
      <alignment horizontal="left" vertical="top" wrapText="1"/>
    </xf>
    <xf numFmtId="0" fontId="0" fillId="0" borderId="48" xfId="0" applyBorder="1" applyAlignment="1">
      <alignment horizontal="left" vertical="center" wrapText="1"/>
    </xf>
    <xf numFmtId="0" fontId="0" fillId="0" borderId="45" xfId="0" applyBorder="1" applyAlignment="1">
      <alignment horizontal="left" vertical="center" wrapText="1"/>
    </xf>
    <xf numFmtId="0" fontId="1" fillId="0" borderId="37" xfId="0" applyFont="1" applyBorder="1" applyAlignment="1">
      <alignment horizontal="left"/>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8" borderId="0" xfId="0" applyFill="1" applyAlignment="1">
      <alignment horizontal="right" vertic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4" fillId="3" borderId="48"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5" xfId="0" applyFont="1" applyFill="1" applyBorder="1" applyAlignment="1">
      <alignment horizontal="left" vertical="center" wrapText="1"/>
    </xf>
    <xf numFmtId="0" fontId="1" fillId="0" borderId="42" xfId="0" applyFont="1" applyBorder="1" applyAlignment="1">
      <alignment horizontal="left" vertical="center" wrapText="1"/>
    </xf>
    <xf numFmtId="0" fontId="1" fillId="0" borderId="41" xfId="0" applyFont="1" applyBorder="1" applyAlignment="1">
      <alignment horizontal="left" vertical="center" wrapText="1"/>
    </xf>
    <xf numFmtId="0" fontId="0" fillId="4" borderId="66" xfId="0" applyFill="1" applyBorder="1" applyAlignment="1">
      <alignment horizontal="right" vertical="center"/>
    </xf>
    <xf numFmtId="0" fontId="0" fillId="4" borderId="3" xfId="0" applyFill="1" applyBorder="1" applyAlignment="1">
      <alignment horizontal="right" vertical="center"/>
    </xf>
    <xf numFmtId="0" fontId="0" fillId="4" borderId="7" xfId="0" applyFill="1" applyBorder="1" applyAlignment="1">
      <alignment horizontal="right" vertical="center"/>
    </xf>
    <xf numFmtId="0" fontId="0" fillId="2" borderId="13" xfId="0" applyFill="1" applyBorder="1" applyAlignment="1">
      <alignment horizontal="right" vertical="center"/>
    </xf>
    <xf numFmtId="0" fontId="0" fillId="2" borderId="17" xfId="0" applyFill="1" applyBorder="1" applyAlignment="1">
      <alignment horizontal="right" vertical="center"/>
    </xf>
    <xf numFmtId="0" fontId="0" fillId="2" borderId="15" xfId="0" applyFill="1" applyBorder="1" applyAlignment="1">
      <alignment horizontal="right" vertical="center"/>
    </xf>
    <xf numFmtId="0" fontId="0" fillId="7" borderId="13" xfId="0" applyFill="1" applyBorder="1" applyAlignment="1">
      <alignment horizontal="right" vertical="center"/>
    </xf>
    <xf numFmtId="0" fontId="0" fillId="7" borderId="17" xfId="0" applyFill="1" applyBorder="1" applyAlignment="1">
      <alignment horizontal="right" vertical="center"/>
    </xf>
    <xf numFmtId="0" fontId="0" fillId="7" borderId="68" xfId="0" applyFill="1" applyBorder="1" applyAlignment="1">
      <alignment horizontal="right" vertical="center"/>
    </xf>
    <xf numFmtId="0" fontId="0" fillId="7" borderId="26" xfId="0" applyFill="1" applyBorder="1" applyAlignment="1">
      <alignment horizontal="right"/>
    </xf>
    <xf numFmtId="0" fontId="0" fillId="7" borderId="27" xfId="0" applyFill="1" applyBorder="1" applyAlignment="1">
      <alignment horizontal="right"/>
    </xf>
    <xf numFmtId="0" fontId="1" fillId="0" borderId="62" xfId="0" applyFont="1" applyBorder="1" applyAlignment="1">
      <alignment horizontal="center" wrapText="1"/>
    </xf>
    <xf numFmtId="0" fontId="1" fillId="0" borderId="63" xfId="0" applyFont="1" applyBorder="1" applyAlignment="1">
      <alignment horizontal="center" wrapText="1"/>
    </xf>
    <xf numFmtId="0" fontId="0" fillId="4" borderId="29" xfId="0" applyFill="1" applyBorder="1" applyAlignment="1">
      <alignment horizontal="right"/>
    </xf>
    <xf numFmtId="0" fontId="0" fillId="4" borderId="30" xfId="0" applyFill="1" applyBorder="1" applyAlignment="1">
      <alignment horizontal="right"/>
    </xf>
    <xf numFmtId="0" fontId="0" fillId="5" borderId="1" xfId="0" applyFill="1" applyBorder="1" applyAlignment="1">
      <alignment horizontal="right"/>
    </xf>
    <xf numFmtId="0" fontId="0" fillId="5" borderId="24" xfId="0" applyFill="1" applyBorder="1" applyAlignment="1">
      <alignment horizontal="right"/>
    </xf>
    <xf numFmtId="0" fontId="0" fillId="2" borderId="1" xfId="0" applyFill="1" applyBorder="1" applyAlignment="1">
      <alignment horizontal="right"/>
    </xf>
    <xf numFmtId="0" fontId="0" fillId="2" borderId="24" xfId="0" applyFill="1" applyBorder="1" applyAlignment="1">
      <alignment horizontal="right"/>
    </xf>
    <xf numFmtId="0" fontId="0" fillId="6" borderId="1" xfId="0" applyFill="1" applyBorder="1" applyAlignment="1">
      <alignment horizontal="right"/>
    </xf>
    <xf numFmtId="0" fontId="0" fillId="6" borderId="24" xfId="0" applyFill="1" applyBorder="1" applyAlignment="1">
      <alignment horizontal="right"/>
    </xf>
    <xf numFmtId="0" fontId="1" fillId="8" borderId="0" xfId="0" applyFont="1" applyFill="1" applyAlignment="1">
      <alignment horizontal="left"/>
    </xf>
    <xf numFmtId="0" fontId="1" fillId="18" borderId="0" xfId="0" applyFont="1" applyFill="1" applyAlignment="1">
      <alignment horizontal="left" wrapText="1"/>
    </xf>
    <xf numFmtId="165" fontId="0" fillId="8" borderId="0" xfId="2" applyNumberFormat="1" applyFont="1" applyFill="1" applyBorder="1">
      <alignment horizontal="left"/>
    </xf>
    <xf numFmtId="1" fontId="0" fillId="8" borderId="0" xfId="0" applyNumberFormat="1" applyFill="1" applyAlignment="1">
      <alignment horizontal="left"/>
    </xf>
    <xf numFmtId="0" fontId="0" fillId="17" borderId="60" xfId="0" applyFill="1" applyBorder="1" applyAlignment="1">
      <alignment horizontal="left" vertical="center" wrapText="1"/>
    </xf>
    <xf numFmtId="165" fontId="0" fillId="17" borderId="60" xfId="0" applyNumberFormat="1" applyFill="1" applyBorder="1" applyAlignment="1">
      <alignment horizontal="left" vertical="center"/>
    </xf>
    <xf numFmtId="165" fontId="0" fillId="17" borderId="11" xfId="0" applyNumberFormat="1" applyFill="1" applyBorder="1" applyAlignment="1">
      <alignment horizontal="left" vertical="center"/>
    </xf>
    <xf numFmtId="165" fontId="0" fillId="17" borderId="10" xfId="0" applyNumberFormat="1" applyFill="1" applyBorder="1" applyAlignment="1">
      <alignment horizontal="left" vertical="center"/>
    </xf>
    <xf numFmtId="0" fontId="1" fillId="17" borderId="0" xfId="0" applyFont="1" applyFill="1" applyAlignment="1">
      <alignment horizontal="left" vertical="center" wrapText="1"/>
    </xf>
    <xf numFmtId="0" fontId="1" fillId="17" borderId="10" xfId="0" applyFont="1" applyFill="1" applyBorder="1" applyAlignment="1">
      <alignment horizontal="left" vertical="center"/>
    </xf>
    <xf numFmtId="165" fontId="0" fillId="17" borderId="0" xfId="0" applyNumberFormat="1" applyFill="1" applyAlignment="1">
      <alignment horizontal="left" vertical="center"/>
    </xf>
    <xf numFmtId="0" fontId="1" fillId="17" borderId="60" xfId="0" applyFont="1" applyFill="1" applyBorder="1" applyAlignment="1">
      <alignment horizontal="left"/>
    </xf>
    <xf numFmtId="0" fontId="0" fillId="17" borderId="0" xfId="0" applyFill="1" applyAlignment="1">
      <alignment horizontal="left" wrapText="1"/>
    </xf>
    <xf numFmtId="0" fontId="0" fillId="17" borderId="10" xfId="0" applyFill="1" applyBorder="1" applyAlignment="1">
      <alignment horizontal="left" wrapText="1"/>
    </xf>
    <xf numFmtId="0" fontId="0" fillId="17" borderId="0" xfId="0" applyFill="1" applyAlignment="1">
      <alignment horizontal="left"/>
    </xf>
    <xf numFmtId="0" fontId="0" fillId="17" borderId="17" xfId="0" applyFill="1" applyBorder="1" applyAlignment="1">
      <alignment horizontal="left"/>
    </xf>
    <xf numFmtId="0" fontId="1" fillId="17" borderId="12" xfId="0" applyFont="1" applyFill="1" applyBorder="1" applyAlignment="1">
      <alignment horizontal="left" wrapText="1"/>
    </xf>
    <xf numFmtId="0" fontId="1" fillId="17" borderId="14" xfId="0" applyFont="1" applyFill="1" applyBorder="1" applyAlignment="1">
      <alignment horizontal="left"/>
    </xf>
  </cellXfs>
  <cellStyles count="3">
    <cellStyle name="Komma" xfId="1" builtinId="3" customBuiltin="1"/>
    <cellStyle name="Standard" xfId="0" builtinId="0"/>
    <cellStyle name="Stil 1" xfId="2" xr:uid="{0FA41776-0855-4E0B-AFEF-BB5D530DD251}"/>
  </cellStyles>
  <dxfs count="32">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ont>
        <color auto="1"/>
      </font>
      <fill>
        <patternFill>
          <bgColor rgb="FFFF0000"/>
        </patternFill>
      </fill>
    </dxf>
    <dxf>
      <font>
        <color auto="1"/>
      </font>
      <fill>
        <patternFill>
          <bgColor rgb="FFFFC000"/>
        </patternFill>
      </fill>
    </dxf>
    <dxf>
      <font>
        <color auto="1"/>
      </font>
      <fill>
        <patternFill>
          <bgColor rgb="FFFFFF00"/>
        </patternFill>
      </fill>
    </dxf>
    <dxf>
      <font>
        <color auto="1"/>
      </font>
      <fill>
        <patternFill>
          <bgColor rgb="FF92D050"/>
        </patternFill>
      </fill>
    </dxf>
    <dxf>
      <font>
        <color auto="1"/>
      </font>
      <fill>
        <patternFill>
          <bgColor rgb="FF00B050"/>
        </patternFill>
      </fill>
    </dxf>
    <dxf>
      <fill>
        <patternFill>
          <bgColor rgb="FFFF5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5353"/>
        </patternFill>
      </fill>
    </dxf>
    <dxf>
      <fill>
        <patternFill>
          <bgColor rgb="FFFF5353"/>
        </patternFill>
      </fill>
    </dxf>
  </dxfs>
  <tableStyles count="0" defaultTableStyle="TableStyleMedium2" defaultPivotStyle="PivotStyleLight16"/>
  <colors>
    <mruColors>
      <color rgb="FFFF5050"/>
      <color rgb="FFFF7C80"/>
      <color rgb="FFFF53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Ökosystemleistungen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0.25800132460078007"/>
          <c:y val="0.30741623968388043"/>
          <c:w val="0.44661431783836936"/>
          <c:h val="0.6883144524851178"/>
        </c:manualLayout>
      </c:layout>
      <c:radarChart>
        <c:radarStyle val="marker"/>
        <c:varyColors val="0"/>
        <c:ser>
          <c:idx val="0"/>
          <c:order val="0"/>
          <c:tx>
            <c:strRef>
              <c:f>Auswertung!$D$4</c:f>
              <c:strCache>
                <c:ptCount val="1"/>
                <c:pt idx="0">
                  <c:v>Ist-Zustand</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5="http://schemas.microsoft.com/office/drawing/2012/chart" uri="{02D57815-91ED-43cb-92C2-25804820EDAC}">
                  <c15:fullRef>
                    <c15:sqref>Auswertung!$B$5:$C$24</c15:sqref>
                  </c15:fullRef>
                </c:ext>
              </c:extLst>
              <c:f>(Auswertung!$B$6:$C$6,Auswertung!$B$8:$C$8,Auswertung!$B$10:$C$10,Auswertung!$B$12:$C$12,Auswertung!$B$14:$C$14,Auswertung!$B$16:$C$16,Auswertung!$B$18:$C$18,Auswertung!$B$20:$C$20,Auswertung!$B$22:$C$22,Auswertung!$B$24:$C$24)</c:f>
              <c:strCache>
                <c:ptCount val="10"/>
                <c:pt idx="0">
                  <c:v>Biologische Vielfalt im Gewässer</c:v>
                </c:pt>
                <c:pt idx="1">
                  <c:v>Biologische Vielfalt in der Aue</c:v>
                </c:pt>
                <c:pt idx="2">
                  <c:v>Mikroklima</c:v>
                </c:pt>
                <c:pt idx="3">
                  <c:v>Niedrigwasserregulation </c:v>
                </c:pt>
                <c:pt idx="4">
                  <c:v>Hochwasserregulation</c:v>
                </c:pt>
                <c:pt idx="5">
                  <c:v>Sedimentregulation</c:v>
                </c:pt>
                <c:pt idx="6">
                  <c:v>Biologische Selbstreinigung</c:v>
                </c:pt>
                <c:pt idx="7">
                  <c:v>Naherholung</c:v>
                </c:pt>
                <c:pt idx="8">
                  <c:v>Umweltbildung</c:v>
                </c:pt>
                <c:pt idx="9">
                  <c:v>Beitrag zum Landschaftsbild</c:v>
                </c:pt>
              </c:strCache>
            </c:strRef>
          </c:cat>
          <c:val>
            <c:numRef>
              <c:extLst>
                <c:ext xmlns:c15="http://schemas.microsoft.com/office/drawing/2012/chart" uri="{02D57815-91ED-43cb-92C2-25804820EDAC}">
                  <c15:fullRef>
                    <c15:sqref>Auswertung!$D$5:$D$24</c15:sqref>
                  </c15:fullRef>
                </c:ext>
              </c:extLst>
              <c:f>(Auswertung!$D$6,Auswertung!$D$8,Auswertung!$D$10,Auswertung!$D$12,Auswertung!$D$14,Auswertung!$D$16,Auswertung!$D$18,Auswertung!$D$20,Auswertung!$D$22,Auswertung!$D$24)</c:f>
              <c:numCache>
                <c:formatCode>0</c:formatCode>
                <c:ptCount val="10"/>
                <c:pt idx="0">
                  <c:v>3</c:v>
                </c:pt>
                <c:pt idx="1">
                  <c:v>3</c:v>
                </c:pt>
                <c:pt idx="2">
                  <c:v>4</c:v>
                </c:pt>
                <c:pt idx="3">
                  <c:v>3</c:v>
                </c:pt>
                <c:pt idx="4">
                  <c:v>3</c:v>
                </c:pt>
                <c:pt idx="5">
                  <c:v>2</c:v>
                </c:pt>
                <c:pt idx="6">
                  <c:v>3</c:v>
                </c:pt>
                <c:pt idx="7" formatCode="General">
                  <c:v>3</c:v>
                </c:pt>
                <c:pt idx="8">
                  <c:v>2</c:v>
                </c:pt>
                <c:pt idx="9">
                  <c:v>2</c:v>
                </c:pt>
              </c:numCache>
            </c:numRef>
          </c:val>
          <c:extLst>
            <c:ext xmlns:c16="http://schemas.microsoft.com/office/drawing/2014/chart" uri="{C3380CC4-5D6E-409C-BE32-E72D297353CC}">
              <c16:uniqueId val="{00000000-82D8-4D69-9941-0CFE5C1430FE}"/>
            </c:ext>
          </c:extLst>
        </c:ser>
        <c:ser>
          <c:idx val="1"/>
          <c:order val="1"/>
          <c:tx>
            <c:strRef>
              <c:f>Auswertung!$E$4</c:f>
              <c:strCache>
                <c:ptCount val="1"/>
                <c:pt idx="0">
                  <c:v>Ziel-Zustand</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5="http://schemas.microsoft.com/office/drawing/2012/chart" uri="{02D57815-91ED-43cb-92C2-25804820EDAC}">
                  <c15:fullRef>
                    <c15:sqref>Auswertung!$B$5:$C$24</c15:sqref>
                  </c15:fullRef>
                </c:ext>
              </c:extLst>
              <c:f>(Auswertung!$B$6:$C$6,Auswertung!$B$8:$C$8,Auswertung!$B$10:$C$10,Auswertung!$B$12:$C$12,Auswertung!$B$14:$C$14,Auswertung!$B$16:$C$16,Auswertung!$B$18:$C$18,Auswertung!$B$20:$C$20,Auswertung!$B$22:$C$22,Auswertung!$B$24:$C$24)</c:f>
              <c:strCache>
                <c:ptCount val="10"/>
                <c:pt idx="0">
                  <c:v>Biologische Vielfalt im Gewässer</c:v>
                </c:pt>
                <c:pt idx="1">
                  <c:v>Biologische Vielfalt in der Aue</c:v>
                </c:pt>
                <c:pt idx="2">
                  <c:v>Mikroklima</c:v>
                </c:pt>
                <c:pt idx="3">
                  <c:v>Niedrigwasserregulation </c:v>
                </c:pt>
                <c:pt idx="4">
                  <c:v>Hochwasserregulation</c:v>
                </c:pt>
                <c:pt idx="5">
                  <c:v>Sedimentregulation</c:v>
                </c:pt>
                <c:pt idx="6">
                  <c:v>Biologische Selbstreinigung</c:v>
                </c:pt>
                <c:pt idx="7">
                  <c:v>Naherholung</c:v>
                </c:pt>
                <c:pt idx="8">
                  <c:v>Umweltbildung</c:v>
                </c:pt>
                <c:pt idx="9">
                  <c:v>Beitrag zum Landschaftsbild</c:v>
                </c:pt>
              </c:strCache>
            </c:strRef>
          </c:cat>
          <c:val>
            <c:numRef>
              <c:extLst>
                <c:ext xmlns:c15="http://schemas.microsoft.com/office/drawing/2012/chart" uri="{02D57815-91ED-43cb-92C2-25804820EDAC}">
                  <c15:fullRef>
                    <c15:sqref>Auswertung!$E$5:$E$24</c15:sqref>
                  </c15:fullRef>
                </c:ext>
              </c:extLst>
              <c:f>(Auswertung!$E$6,Auswertung!$E$8,Auswertung!$E$10,Auswertung!$E$12,Auswertung!$E$14,Auswertung!$E$16,Auswertung!$E$18,Auswertung!$E$20,Auswertung!$E$22,Auswertung!$E$24)</c:f>
              <c:numCache>
                <c:formatCode>0</c:formatCode>
                <c:ptCount val="10"/>
                <c:pt idx="0">
                  <c:v>4</c:v>
                </c:pt>
                <c:pt idx="1">
                  <c:v>4</c:v>
                </c:pt>
                <c:pt idx="2">
                  <c:v>5</c:v>
                </c:pt>
                <c:pt idx="3">
                  <c:v>5</c:v>
                </c:pt>
                <c:pt idx="4">
                  <c:v>4</c:v>
                </c:pt>
                <c:pt idx="5">
                  <c:v>5</c:v>
                </c:pt>
                <c:pt idx="6">
                  <c:v>4</c:v>
                </c:pt>
                <c:pt idx="7" formatCode="General">
                  <c:v>4</c:v>
                </c:pt>
                <c:pt idx="8">
                  <c:v>4</c:v>
                </c:pt>
                <c:pt idx="9">
                  <c:v>4</c:v>
                </c:pt>
              </c:numCache>
            </c:numRef>
          </c:val>
          <c:extLst>
            <c:ext xmlns:c16="http://schemas.microsoft.com/office/drawing/2014/chart" uri="{C3380CC4-5D6E-409C-BE32-E72D297353CC}">
              <c16:uniqueId val="{00000001-82D8-4D69-9941-0CFE5C1430FE}"/>
            </c:ext>
          </c:extLst>
        </c:ser>
        <c:dLbls>
          <c:showLegendKey val="0"/>
          <c:showVal val="0"/>
          <c:showCatName val="0"/>
          <c:showSerName val="0"/>
          <c:showPercent val="0"/>
          <c:showBubbleSize val="0"/>
        </c:dLbls>
        <c:axId val="1050246176"/>
        <c:axId val="1050246592"/>
      </c:radarChart>
      <c:catAx>
        <c:axId val="105024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50246592"/>
        <c:crosses val="autoZero"/>
        <c:auto val="1"/>
        <c:lblAlgn val="ctr"/>
        <c:lblOffset val="100"/>
        <c:noMultiLvlLbl val="0"/>
      </c:catAx>
      <c:valAx>
        <c:axId val="1050246592"/>
        <c:scaling>
          <c:orientation val="minMax"/>
          <c:max val="5"/>
          <c:min val="0"/>
        </c:scaling>
        <c:delete val="0"/>
        <c:axPos val="l"/>
        <c:majorGridlines>
          <c:spPr>
            <a:ln w="12700" cap="flat" cmpd="sng" algn="ctr">
              <a:solidFill>
                <a:schemeClr val="bg1">
                  <a:lumMod val="6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50246176"/>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Ökosystemleistungen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Auswertung!$D$4</c:f>
              <c:strCache>
                <c:ptCount val="1"/>
                <c:pt idx="0">
                  <c:v>Ist-Zustand</c:v>
                </c:pt>
              </c:strCache>
            </c:strRef>
          </c:tx>
          <c:spPr>
            <a:solidFill>
              <a:schemeClr val="accent1"/>
            </a:solidFill>
            <a:ln>
              <a:noFill/>
            </a:ln>
            <a:effectLst/>
          </c:spPr>
          <c:invertIfNegative val="0"/>
          <c:cat>
            <c:strRef>
              <c:f>Auswertung!$B$5:$C$24</c:f>
              <c:strCache>
                <c:ptCount val="20"/>
                <c:pt idx="1">
                  <c:v>Biologische Vielfalt im Gewässer</c:v>
                </c:pt>
                <c:pt idx="3">
                  <c:v>Biologische Vielfalt in der Aue</c:v>
                </c:pt>
                <c:pt idx="5">
                  <c:v>Mikroklima</c:v>
                </c:pt>
                <c:pt idx="7">
                  <c:v>Niedrigwasserregulation </c:v>
                </c:pt>
                <c:pt idx="9">
                  <c:v>Hochwasserregulation</c:v>
                </c:pt>
                <c:pt idx="11">
                  <c:v>Sedimentregulation</c:v>
                </c:pt>
                <c:pt idx="13">
                  <c:v>Biologische Selbstreinigung</c:v>
                </c:pt>
                <c:pt idx="15">
                  <c:v>Naherholung</c:v>
                </c:pt>
                <c:pt idx="17">
                  <c:v>Umweltbildung</c:v>
                </c:pt>
                <c:pt idx="19">
                  <c:v>Beitrag zum Landschaftsbild</c:v>
                </c:pt>
              </c:strCache>
            </c:strRef>
          </c:cat>
          <c:val>
            <c:numRef>
              <c:f>Auswertung!$D$5:$D$24</c:f>
              <c:numCache>
                <c:formatCode>0</c:formatCode>
                <c:ptCount val="20"/>
                <c:pt idx="1">
                  <c:v>3</c:v>
                </c:pt>
                <c:pt idx="3">
                  <c:v>3</c:v>
                </c:pt>
                <c:pt idx="5">
                  <c:v>4</c:v>
                </c:pt>
                <c:pt idx="7">
                  <c:v>3</c:v>
                </c:pt>
                <c:pt idx="9">
                  <c:v>3</c:v>
                </c:pt>
                <c:pt idx="11">
                  <c:v>2</c:v>
                </c:pt>
                <c:pt idx="13">
                  <c:v>3</c:v>
                </c:pt>
                <c:pt idx="15" formatCode="General">
                  <c:v>3</c:v>
                </c:pt>
                <c:pt idx="17">
                  <c:v>2</c:v>
                </c:pt>
                <c:pt idx="19">
                  <c:v>2</c:v>
                </c:pt>
              </c:numCache>
            </c:numRef>
          </c:val>
          <c:extLst>
            <c:ext xmlns:c16="http://schemas.microsoft.com/office/drawing/2014/chart" uri="{C3380CC4-5D6E-409C-BE32-E72D297353CC}">
              <c16:uniqueId val="{00000000-6900-48B0-9C2D-D4E129BEB095}"/>
            </c:ext>
          </c:extLst>
        </c:ser>
        <c:ser>
          <c:idx val="1"/>
          <c:order val="1"/>
          <c:tx>
            <c:strRef>
              <c:f>Auswertung!$E$4</c:f>
              <c:strCache>
                <c:ptCount val="1"/>
                <c:pt idx="0">
                  <c:v>Ziel-Zustand</c:v>
                </c:pt>
              </c:strCache>
            </c:strRef>
          </c:tx>
          <c:spPr>
            <a:solidFill>
              <a:schemeClr val="accent2"/>
            </a:solidFill>
            <a:ln>
              <a:noFill/>
            </a:ln>
            <a:effectLst/>
          </c:spPr>
          <c:invertIfNegative val="0"/>
          <c:cat>
            <c:strRef>
              <c:f>Auswertung!$B$5:$C$24</c:f>
              <c:strCache>
                <c:ptCount val="20"/>
                <c:pt idx="1">
                  <c:v>Biologische Vielfalt im Gewässer</c:v>
                </c:pt>
                <c:pt idx="3">
                  <c:v>Biologische Vielfalt in der Aue</c:v>
                </c:pt>
                <c:pt idx="5">
                  <c:v>Mikroklima</c:v>
                </c:pt>
                <c:pt idx="7">
                  <c:v>Niedrigwasserregulation </c:v>
                </c:pt>
                <c:pt idx="9">
                  <c:v>Hochwasserregulation</c:v>
                </c:pt>
                <c:pt idx="11">
                  <c:v>Sedimentregulation</c:v>
                </c:pt>
                <c:pt idx="13">
                  <c:v>Biologische Selbstreinigung</c:v>
                </c:pt>
                <c:pt idx="15">
                  <c:v>Naherholung</c:v>
                </c:pt>
                <c:pt idx="17">
                  <c:v>Umweltbildung</c:v>
                </c:pt>
                <c:pt idx="19">
                  <c:v>Beitrag zum Landschaftsbild</c:v>
                </c:pt>
              </c:strCache>
            </c:strRef>
          </c:cat>
          <c:val>
            <c:numRef>
              <c:f>Auswertung!$E$5:$E$24</c:f>
              <c:numCache>
                <c:formatCode>0</c:formatCode>
                <c:ptCount val="20"/>
                <c:pt idx="1">
                  <c:v>4</c:v>
                </c:pt>
                <c:pt idx="3">
                  <c:v>4</c:v>
                </c:pt>
                <c:pt idx="5">
                  <c:v>5</c:v>
                </c:pt>
                <c:pt idx="7">
                  <c:v>5</c:v>
                </c:pt>
                <c:pt idx="9">
                  <c:v>4</c:v>
                </c:pt>
                <c:pt idx="11">
                  <c:v>5</c:v>
                </c:pt>
                <c:pt idx="13">
                  <c:v>4</c:v>
                </c:pt>
                <c:pt idx="15" formatCode="General">
                  <c:v>4</c:v>
                </c:pt>
                <c:pt idx="17">
                  <c:v>4</c:v>
                </c:pt>
                <c:pt idx="19">
                  <c:v>4</c:v>
                </c:pt>
              </c:numCache>
            </c:numRef>
          </c:val>
          <c:extLst>
            <c:ext xmlns:c16="http://schemas.microsoft.com/office/drawing/2014/chart" uri="{C3380CC4-5D6E-409C-BE32-E72D297353CC}">
              <c16:uniqueId val="{00000001-6900-48B0-9C2D-D4E129BEB095}"/>
            </c:ext>
          </c:extLst>
        </c:ser>
        <c:dLbls>
          <c:showLegendKey val="0"/>
          <c:showVal val="0"/>
          <c:showCatName val="0"/>
          <c:showSerName val="0"/>
          <c:showPercent val="0"/>
          <c:showBubbleSize val="0"/>
        </c:dLbls>
        <c:gapWidth val="219"/>
        <c:overlap val="-27"/>
        <c:axId val="790794672"/>
        <c:axId val="1362240112"/>
      </c:barChart>
      <c:catAx>
        <c:axId val="790794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362240112"/>
        <c:crosses val="autoZero"/>
        <c:auto val="1"/>
        <c:lblAlgn val="ctr"/>
        <c:lblOffset val="100"/>
        <c:noMultiLvlLbl val="0"/>
      </c:catAx>
      <c:valAx>
        <c:axId val="1362240112"/>
        <c:scaling>
          <c:orientation val="minMax"/>
          <c:max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Bewertungsklasse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0794672"/>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25400</xdr:colOff>
      <xdr:row>2</xdr:row>
      <xdr:rowOff>180975</xdr:rowOff>
    </xdr:from>
    <xdr:to>
      <xdr:col>17</xdr:col>
      <xdr:colOff>176893</xdr:colOff>
      <xdr:row>27</xdr:row>
      <xdr:rowOff>48260</xdr:rowOff>
    </xdr:to>
    <xdr:graphicFrame macro="">
      <xdr:nvGraphicFramePr>
        <xdr:cNvPr id="2" name="Diagramm 1">
          <a:extLst>
            <a:ext uri="{FF2B5EF4-FFF2-40B4-BE49-F238E27FC236}">
              <a16:creationId xmlns:a16="http://schemas.microsoft.com/office/drawing/2014/main" id="{093312FB-21C5-42F0-9870-624E3F7A0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1906</xdr:colOff>
      <xdr:row>27</xdr:row>
      <xdr:rowOff>169546</xdr:rowOff>
    </xdr:from>
    <xdr:to>
      <xdr:col>17</xdr:col>
      <xdr:colOff>0</xdr:colOff>
      <xdr:row>50</xdr:row>
      <xdr:rowOff>14941</xdr:rowOff>
    </xdr:to>
    <xdr:graphicFrame macro="">
      <xdr:nvGraphicFramePr>
        <xdr:cNvPr id="3" name="Diagramm 2">
          <a:extLst>
            <a:ext uri="{FF2B5EF4-FFF2-40B4-BE49-F238E27FC236}">
              <a16:creationId xmlns:a16="http://schemas.microsoft.com/office/drawing/2014/main" id="{F42F3230-5AEA-4F3D-BFC1-36DAF0DB5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6D2C6-F03C-4100-8F2F-D974DBA372ED}">
  <sheetPr>
    <pageSetUpPr autoPageBreaks="0"/>
  </sheetPr>
  <dimension ref="A1:S79"/>
  <sheetViews>
    <sheetView tabSelected="1" zoomScaleNormal="100" workbookViewId="0">
      <selection activeCell="C82" sqref="C82"/>
    </sheetView>
  </sheetViews>
  <sheetFormatPr baseColWidth="10" defaultRowHeight="14.5"/>
  <cols>
    <col min="1" max="1" width="3.54296875" customWidth="1"/>
    <col min="2" max="2" width="31.453125" customWidth="1"/>
    <col min="3" max="3" width="36" customWidth="1"/>
    <col min="4" max="4" width="6" customWidth="1"/>
    <col min="5" max="5" width="22.54296875" customWidth="1"/>
    <col min="6" max="6" width="20.453125" customWidth="1"/>
    <col min="7" max="7" width="4.54296875" customWidth="1"/>
    <col min="8" max="8" width="14" customWidth="1"/>
    <col min="9" max="9" width="17.453125" customWidth="1"/>
    <col min="10" max="10" width="4" customWidth="1"/>
    <col min="11" max="11" width="19.453125" customWidth="1"/>
    <col min="12" max="12" width="14.453125" customWidth="1"/>
  </cols>
  <sheetData>
    <row r="1" spans="1:19" ht="18.5">
      <c r="A1" s="50"/>
      <c r="B1" s="401" t="s">
        <v>183</v>
      </c>
      <c r="C1" s="401"/>
      <c r="D1" s="401"/>
      <c r="E1" s="401"/>
      <c r="F1" s="401"/>
      <c r="G1" s="95"/>
      <c r="H1" s="96"/>
      <c r="I1" s="96"/>
      <c r="J1" s="97"/>
      <c r="K1" s="97"/>
      <c r="L1" s="97"/>
      <c r="M1" s="97"/>
      <c r="N1" s="96"/>
      <c r="O1" s="98"/>
      <c r="P1" s="8" t="s">
        <v>156</v>
      </c>
    </row>
    <row r="2" spans="1:19" ht="18.5">
      <c r="A2" s="2"/>
      <c r="B2" s="99"/>
      <c r="C2" s="99"/>
      <c r="D2" s="99"/>
      <c r="E2" s="94"/>
      <c r="F2" s="100"/>
      <c r="G2" s="100"/>
      <c r="H2" s="101"/>
      <c r="I2" s="101"/>
      <c r="J2" s="94"/>
      <c r="K2" s="94"/>
      <c r="L2" s="94"/>
      <c r="M2" s="94"/>
      <c r="N2" s="101"/>
      <c r="O2" s="102"/>
    </row>
    <row r="3" spans="1:19" ht="16.399999999999999" customHeight="1">
      <c r="A3" s="103"/>
      <c r="B3" s="104" t="s">
        <v>186</v>
      </c>
      <c r="C3" s="105"/>
      <c r="D3" s="105"/>
      <c r="E3" s="106"/>
      <c r="F3" s="107"/>
      <c r="G3" s="107"/>
      <c r="H3" s="108"/>
      <c r="I3" s="108"/>
      <c r="J3" s="106"/>
      <c r="K3" s="106"/>
      <c r="L3" s="106"/>
      <c r="M3" s="106"/>
      <c r="N3" s="108"/>
      <c r="O3" s="109"/>
      <c r="P3" s="110"/>
      <c r="Q3" s="407" t="s">
        <v>220</v>
      </c>
      <c r="R3" s="407"/>
      <c r="S3" s="407"/>
    </row>
    <row r="4" spans="1:19" ht="15" customHeight="1">
      <c r="A4" s="2"/>
      <c r="B4" s="99"/>
      <c r="C4" s="99"/>
      <c r="D4" s="99"/>
      <c r="E4" s="94"/>
      <c r="F4" s="100"/>
      <c r="G4" s="100"/>
      <c r="H4" s="101"/>
      <c r="I4" s="101"/>
      <c r="J4" s="94"/>
      <c r="K4" s="94"/>
      <c r="L4" s="94"/>
      <c r="M4" s="94"/>
      <c r="N4" s="101"/>
      <c r="O4" s="102"/>
    </row>
    <row r="5" spans="1:19" ht="14.9" customHeight="1">
      <c r="A5" s="2"/>
      <c r="B5" s="69" t="s">
        <v>383</v>
      </c>
      <c r="C5" s="404" t="s">
        <v>375</v>
      </c>
      <c r="D5" s="404"/>
      <c r="E5" s="404"/>
      <c r="F5" s="404"/>
      <c r="G5" s="404"/>
      <c r="H5" s="404"/>
      <c r="I5" s="101"/>
      <c r="J5" s="94"/>
      <c r="K5" s="94"/>
      <c r="L5" s="94"/>
      <c r="M5" s="94"/>
      <c r="N5" s="101"/>
      <c r="O5" s="102"/>
      <c r="P5" s="378"/>
      <c r="Q5" t="s">
        <v>421</v>
      </c>
    </row>
    <row r="6" spans="1:19" ht="14.9" customHeight="1">
      <c r="A6" s="2"/>
      <c r="B6" s="99"/>
      <c r="C6" s="99"/>
      <c r="D6" s="99"/>
      <c r="E6" s="94"/>
      <c r="F6" s="100"/>
      <c r="G6" s="100"/>
      <c r="H6" s="101"/>
      <c r="I6" s="101"/>
      <c r="J6" s="94"/>
      <c r="K6" s="94"/>
      <c r="L6" s="94"/>
      <c r="M6" s="94"/>
      <c r="N6" s="101"/>
      <c r="O6" s="102"/>
    </row>
    <row r="7" spans="1:19" ht="14.9" customHeight="1">
      <c r="A7" s="2"/>
      <c r="B7" s="69" t="s">
        <v>164</v>
      </c>
      <c r="C7" s="61"/>
      <c r="D7" s="99"/>
      <c r="E7" s="69" t="s">
        <v>165</v>
      </c>
      <c r="F7" s="404"/>
      <c r="G7" s="404"/>
      <c r="H7" s="404"/>
      <c r="I7" s="101"/>
      <c r="J7" s="94"/>
      <c r="K7" s="94"/>
      <c r="L7" s="94"/>
      <c r="M7" s="94"/>
      <c r="N7" s="101"/>
      <c r="O7" s="102"/>
    </row>
    <row r="8" spans="1:19" ht="10.5" customHeight="1">
      <c r="A8" s="2"/>
      <c r="B8" s="99"/>
      <c r="C8" s="99"/>
      <c r="D8" s="99"/>
      <c r="E8" s="94"/>
      <c r="F8" s="100"/>
      <c r="G8" s="100"/>
      <c r="H8" s="101"/>
      <c r="I8" s="101"/>
      <c r="J8" s="94"/>
      <c r="K8" s="94"/>
      <c r="L8" s="94"/>
      <c r="M8" s="94"/>
      <c r="N8" s="101"/>
      <c r="O8" s="102"/>
      <c r="Q8" s="112"/>
    </row>
    <row r="9" spans="1:19" ht="14.9" customHeight="1">
      <c r="A9" s="2"/>
      <c r="B9" s="292" t="s">
        <v>350</v>
      </c>
      <c r="C9" s="99"/>
      <c r="D9" s="99"/>
      <c r="E9" s="94"/>
      <c r="F9" s="100"/>
      <c r="G9" s="100"/>
      <c r="H9" s="101"/>
      <c r="I9" s="101"/>
      <c r="J9" s="94"/>
      <c r="K9" s="94"/>
      <c r="L9" s="94"/>
      <c r="M9" s="94"/>
      <c r="N9" s="101"/>
      <c r="O9" s="102"/>
      <c r="Q9" s="112"/>
    </row>
    <row r="10" spans="1:19" ht="14.9" customHeight="1">
      <c r="A10" s="2"/>
      <c r="B10" s="293" t="s">
        <v>385</v>
      </c>
      <c r="C10" s="61"/>
      <c r="D10" s="99"/>
      <c r="E10" s="69" t="s">
        <v>166</v>
      </c>
      <c r="F10" s="61"/>
      <c r="G10" s="111"/>
      <c r="H10" s="69" t="s">
        <v>167</v>
      </c>
      <c r="I10" s="404"/>
      <c r="J10" s="404"/>
      <c r="K10" s="404"/>
      <c r="L10" s="404"/>
      <c r="M10" s="94"/>
      <c r="N10" s="101"/>
      <c r="O10" s="102"/>
      <c r="Q10" s="113"/>
    </row>
    <row r="11" spans="1:19" ht="6.65" customHeight="1">
      <c r="A11" s="2"/>
      <c r="B11" s="99"/>
      <c r="C11" s="99"/>
      <c r="D11" s="99"/>
      <c r="E11" s="94"/>
      <c r="F11" s="100"/>
      <c r="G11" s="100"/>
      <c r="H11" s="101"/>
      <c r="I11" s="101"/>
      <c r="J11" s="94"/>
      <c r="K11" s="94"/>
      <c r="L11" s="94"/>
      <c r="M11" s="94"/>
      <c r="N11" s="101"/>
      <c r="O11" s="102"/>
    </row>
    <row r="12" spans="1:19" ht="14.9" customHeight="1">
      <c r="A12" s="2"/>
      <c r="B12" s="292" t="s">
        <v>351</v>
      </c>
      <c r="C12" s="99"/>
      <c r="D12" s="99"/>
      <c r="E12" s="94"/>
      <c r="F12" s="100"/>
      <c r="G12" s="100"/>
      <c r="H12" s="101"/>
      <c r="I12" s="101"/>
      <c r="J12" s="94"/>
      <c r="K12" s="94"/>
      <c r="L12" s="94"/>
      <c r="M12" s="94"/>
      <c r="N12" s="101"/>
      <c r="O12" s="102"/>
    </row>
    <row r="13" spans="1:19" ht="14.9" customHeight="1">
      <c r="A13" s="2"/>
      <c r="B13" s="293" t="s">
        <v>384</v>
      </c>
      <c r="C13" s="378"/>
      <c r="D13" s="99"/>
      <c r="E13" s="69" t="s">
        <v>166</v>
      </c>
      <c r="F13" s="378"/>
      <c r="G13" s="111"/>
      <c r="H13" s="69" t="s">
        <v>167</v>
      </c>
      <c r="I13" s="408"/>
      <c r="J13" s="408"/>
      <c r="K13" s="408"/>
      <c r="L13" s="408"/>
      <c r="M13" s="94"/>
      <c r="N13" s="101"/>
      <c r="O13" s="102"/>
    </row>
    <row r="14" spans="1:19" ht="14.9" customHeight="1">
      <c r="A14" s="2"/>
      <c r="B14" s="99"/>
      <c r="C14" s="99"/>
      <c r="D14" s="99"/>
      <c r="E14" s="94"/>
      <c r="F14" s="100"/>
      <c r="G14" s="100"/>
      <c r="H14" s="101"/>
      <c r="I14" s="101"/>
      <c r="J14" s="94"/>
      <c r="K14" s="94"/>
      <c r="L14" s="94"/>
      <c r="M14" s="94"/>
      <c r="N14" s="101"/>
      <c r="O14" s="102"/>
    </row>
    <row r="15" spans="1:19" ht="14.9" customHeight="1">
      <c r="A15" s="2"/>
      <c r="B15" s="69" t="s">
        <v>168</v>
      </c>
      <c r="C15" s="61"/>
      <c r="D15" s="94"/>
      <c r="E15" s="114" t="s">
        <v>169</v>
      </c>
      <c r="F15" s="61"/>
      <c r="G15" s="115"/>
      <c r="H15" s="116" t="s">
        <v>170</v>
      </c>
      <c r="I15" s="404"/>
      <c r="J15" s="404"/>
      <c r="K15" s="404"/>
      <c r="L15" s="404"/>
      <c r="M15" s="94"/>
      <c r="N15" s="101"/>
      <c r="O15" s="102"/>
    </row>
    <row r="16" spans="1:19">
      <c r="A16" s="2"/>
      <c r="B16" s="2"/>
      <c r="C16" s="2"/>
      <c r="D16" s="2"/>
      <c r="E16" s="2"/>
      <c r="F16" s="2"/>
      <c r="G16" s="2"/>
      <c r="H16" s="2"/>
      <c r="I16" s="2"/>
      <c r="J16" s="117"/>
      <c r="K16" s="117"/>
      <c r="L16" s="117"/>
      <c r="M16" s="94"/>
      <c r="N16" s="2"/>
      <c r="O16" s="49"/>
      <c r="Q16" s="113"/>
    </row>
    <row r="17" spans="1:17" ht="14.9" customHeight="1">
      <c r="A17" s="2"/>
      <c r="B17" s="292" t="s">
        <v>346</v>
      </c>
      <c r="C17" s="2"/>
      <c r="D17" s="2"/>
      <c r="E17" s="292" t="s">
        <v>348</v>
      </c>
      <c r="F17" s="2"/>
      <c r="G17" s="2"/>
      <c r="H17" s="2"/>
      <c r="I17" s="2"/>
      <c r="J17" s="117"/>
      <c r="K17" s="117"/>
      <c r="L17" s="117"/>
      <c r="M17" s="94"/>
      <c r="N17" s="2"/>
      <c r="O17" s="49"/>
      <c r="Q17" s="113"/>
    </row>
    <row r="18" spans="1:17">
      <c r="A18" s="2"/>
      <c r="B18" s="293" t="s">
        <v>347</v>
      </c>
      <c r="C18" s="378"/>
      <c r="D18" s="2"/>
      <c r="E18" s="293" t="s">
        <v>349</v>
      </c>
      <c r="F18" s="378"/>
      <c r="G18" s="2"/>
      <c r="H18" s="2"/>
      <c r="I18" s="2"/>
      <c r="J18" s="117"/>
      <c r="K18" s="117"/>
      <c r="L18" s="117"/>
      <c r="M18" s="94"/>
      <c r="N18" s="2"/>
      <c r="O18" s="49"/>
      <c r="Q18" s="113"/>
    </row>
    <row r="19" spans="1:17">
      <c r="A19" s="2"/>
      <c r="B19" s="2"/>
      <c r="C19" s="2"/>
      <c r="D19" s="2"/>
      <c r="E19" s="2"/>
      <c r="F19" s="2"/>
      <c r="G19" s="2"/>
      <c r="H19" s="2"/>
      <c r="I19" s="2"/>
      <c r="J19" s="117"/>
      <c r="K19" s="117"/>
      <c r="L19" s="117"/>
      <c r="M19" s="94"/>
      <c r="N19" s="2"/>
      <c r="O19" s="49"/>
      <c r="Q19" s="113"/>
    </row>
    <row r="20" spans="1:17" ht="14.4" customHeight="1">
      <c r="A20" s="2"/>
      <c r="B20" s="292" t="s">
        <v>432</v>
      </c>
      <c r="C20" s="61" t="s">
        <v>233</v>
      </c>
      <c r="D20" s="2"/>
      <c r="E20" s="2"/>
      <c r="F20" s="2"/>
      <c r="G20" s="2"/>
      <c r="H20" s="2"/>
      <c r="I20" s="2"/>
      <c r="J20" s="117"/>
      <c r="K20" s="117"/>
      <c r="L20" s="117"/>
      <c r="M20" s="94"/>
      <c r="N20" s="2"/>
      <c r="O20" s="49"/>
      <c r="Q20" s="113"/>
    </row>
    <row r="21" spans="1:17">
      <c r="A21" s="2"/>
      <c r="B21" s="292"/>
      <c r="C21" s="292"/>
      <c r="D21" s="2"/>
      <c r="E21" s="2"/>
      <c r="F21" s="2"/>
      <c r="G21" s="2"/>
      <c r="H21" s="2"/>
      <c r="I21" s="2"/>
      <c r="J21" s="117"/>
      <c r="K21" s="117"/>
      <c r="L21" s="117"/>
      <c r="M21" s="94"/>
      <c r="N21" s="2"/>
      <c r="O21" s="49"/>
      <c r="Q21" s="113"/>
    </row>
    <row r="22" spans="1:17">
      <c r="A22" s="2"/>
      <c r="B22" s="69" t="s">
        <v>171</v>
      </c>
      <c r="C22" s="61" t="s">
        <v>173</v>
      </c>
      <c r="D22" s="94"/>
      <c r="E22" s="114" t="s">
        <v>172</v>
      </c>
      <c r="F22" s="61"/>
      <c r="G22" s="118"/>
      <c r="H22" s="2"/>
      <c r="I22" s="111"/>
      <c r="J22" s="69"/>
      <c r="K22" s="69"/>
      <c r="L22" s="111"/>
      <c r="M22" s="94"/>
      <c r="N22" s="115"/>
      <c r="O22" s="119"/>
    </row>
    <row r="23" spans="1:17">
      <c r="A23" s="2"/>
      <c r="B23" s="69"/>
      <c r="C23" s="111"/>
      <c r="D23" s="94"/>
      <c r="E23" s="111"/>
      <c r="F23" s="118"/>
      <c r="G23" s="118"/>
      <c r="H23" s="2"/>
      <c r="I23" s="111"/>
      <c r="J23" s="69"/>
      <c r="K23" s="69"/>
      <c r="L23" s="111"/>
      <c r="M23" s="94"/>
      <c r="N23" s="115"/>
      <c r="O23" s="119"/>
    </row>
    <row r="24" spans="1:17">
      <c r="A24" s="2"/>
      <c r="B24" s="69" t="s">
        <v>177</v>
      </c>
      <c r="C24" s="111"/>
      <c r="D24" s="94"/>
      <c r="E24" s="111"/>
      <c r="F24" s="118"/>
      <c r="G24" s="118"/>
      <c r="H24" s="2"/>
      <c r="I24" s="111"/>
      <c r="J24" s="69"/>
      <c r="K24" s="69"/>
      <c r="L24" s="111"/>
      <c r="M24" s="94"/>
      <c r="N24" s="115"/>
      <c r="O24" s="119"/>
    </row>
    <row r="25" spans="1:17">
      <c r="A25" s="2"/>
      <c r="B25" s="94" t="s">
        <v>174</v>
      </c>
      <c r="C25" s="61"/>
      <c r="D25" s="94"/>
      <c r="E25" s="111" t="s">
        <v>175</v>
      </c>
      <c r="F25" s="61"/>
      <c r="G25" s="118"/>
      <c r="H25" s="2" t="s">
        <v>15</v>
      </c>
      <c r="I25" s="61"/>
      <c r="K25" s="94" t="s">
        <v>176</v>
      </c>
      <c r="L25" s="61"/>
      <c r="M25" s="94"/>
      <c r="N25" s="115"/>
      <c r="O25" s="119"/>
    </row>
    <row r="26" spans="1:17">
      <c r="A26" s="2"/>
      <c r="B26" s="69"/>
      <c r="C26" s="111"/>
      <c r="D26" s="94"/>
      <c r="E26" s="111"/>
      <c r="F26" s="118"/>
      <c r="G26" s="118"/>
      <c r="H26" s="2"/>
      <c r="I26" s="111"/>
      <c r="J26" s="69"/>
      <c r="K26" s="69"/>
      <c r="L26" s="111"/>
      <c r="M26" s="94"/>
      <c r="N26" s="115"/>
      <c r="O26" s="119"/>
    </row>
    <row r="27" spans="1:17">
      <c r="A27" s="2"/>
      <c r="B27" s="69" t="s">
        <v>319</v>
      </c>
      <c r="C27" s="61"/>
      <c r="D27" s="112"/>
      <c r="E27" s="120" t="s">
        <v>178</v>
      </c>
      <c r="F27" s="61">
        <v>700</v>
      </c>
      <c r="G27" s="69"/>
      <c r="H27" s="8" t="s">
        <v>179</v>
      </c>
      <c r="I27" s="61" t="s">
        <v>207</v>
      </c>
      <c r="J27" s="94"/>
      <c r="K27" s="69" t="s">
        <v>223</v>
      </c>
      <c r="L27" s="61">
        <v>10</v>
      </c>
      <c r="M27" s="94"/>
      <c r="N27" s="101"/>
      <c r="O27" s="102"/>
    </row>
    <row r="28" spans="1:17">
      <c r="A28" s="2"/>
      <c r="B28" s="69"/>
      <c r="C28" s="111"/>
      <c r="D28" s="111"/>
      <c r="E28" s="120"/>
      <c r="F28" s="111"/>
      <c r="G28" s="69"/>
      <c r="H28" s="34"/>
      <c r="I28" s="111"/>
      <c r="J28" s="94"/>
      <c r="K28" s="94"/>
      <c r="L28" s="94"/>
      <c r="M28" s="94"/>
      <c r="N28" s="101"/>
      <c r="O28" s="102"/>
    </row>
    <row r="29" spans="1:17">
      <c r="A29" s="2"/>
      <c r="B29" s="69" t="s">
        <v>180</v>
      </c>
      <c r="C29" s="61" t="s">
        <v>206</v>
      </c>
      <c r="D29" s="111"/>
      <c r="E29" s="120" t="s">
        <v>181</v>
      </c>
      <c r="F29" s="404"/>
      <c r="G29" s="404"/>
      <c r="H29" s="404"/>
      <c r="I29" s="404"/>
      <c r="J29" s="404"/>
      <c r="K29" s="404"/>
      <c r="L29" s="404"/>
      <c r="M29" s="94"/>
      <c r="N29" s="101"/>
      <c r="O29" s="102"/>
    </row>
    <row r="30" spans="1:17">
      <c r="A30" s="2"/>
      <c r="B30" s="69"/>
      <c r="C30" s="111"/>
      <c r="D30" s="111"/>
      <c r="E30" s="120"/>
      <c r="F30" s="111"/>
      <c r="G30" s="69"/>
      <c r="H30" s="34"/>
      <c r="I30" s="111"/>
      <c r="J30" s="94"/>
      <c r="K30" s="94"/>
      <c r="L30" s="94"/>
      <c r="M30" s="94"/>
      <c r="N30" s="101"/>
      <c r="O30" s="102"/>
    </row>
    <row r="31" spans="1:17">
      <c r="A31" s="2"/>
      <c r="B31" s="402" t="s">
        <v>315</v>
      </c>
      <c r="C31" s="61"/>
      <c r="D31" s="111"/>
      <c r="E31" s="120" t="s">
        <v>182</v>
      </c>
      <c r="F31" s="61"/>
      <c r="G31" s="69"/>
      <c r="H31" s="120"/>
      <c r="I31" s="111"/>
      <c r="J31" s="94"/>
      <c r="K31" s="94"/>
      <c r="L31" s="94"/>
      <c r="M31" s="94"/>
      <c r="N31" s="101"/>
      <c r="O31" s="102"/>
    </row>
    <row r="32" spans="1:17">
      <c r="A32" s="2"/>
      <c r="B32" s="403"/>
      <c r="C32" s="111"/>
      <c r="D32" s="111"/>
      <c r="E32" s="120"/>
      <c r="F32" s="111"/>
      <c r="G32" s="69"/>
      <c r="H32" s="34"/>
      <c r="I32" s="111"/>
      <c r="J32" s="94"/>
      <c r="K32" s="94"/>
      <c r="L32" s="94"/>
      <c r="M32" s="94"/>
      <c r="N32" s="101"/>
      <c r="O32" s="102"/>
    </row>
    <row r="33" spans="1:15">
      <c r="A33" s="2"/>
      <c r="B33" s="69"/>
      <c r="C33" s="111"/>
      <c r="D33" s="111"/>
      <c r="E33" s="120"/>
      <c r="F33" s="111"/>
      <c r="G33" s="69"/>
      <c r="H33" s="34"/>
      <c r="I33" s="111"/>
      <c r="J33" s="94"/>
      <c r="K33" s="94"/>
      <c r="L33" s="94"/>
      <c r="M33" s="94"/>
      <c r="N33" s="101"/>
      <c r="O33" s="102"/>
    </row>
    <row r="34" spans="1:15" ht="28.5" customHeight="1">
      <c r="A34" s="2"/>
      <c r="B34" s="69" t="s">
        <v>184</v>
      </c>
      <c r="C34" s="409"/>
      <c r="D34" s="409"/>
      <c r="E34" s="409"/>
      <c r="F34" s="409"/>
      <c r="G34" s="409"/>
      <c r="H34" s="409"/>
      <c r="I34" s="409"/>
      <c r="J34" s="409"/>
      <c r="K34" s="409"/>
      <c r="L34" s="409"/>
      <c r="M34" s="94"/>
      <c r="N34" s="101"/>
      <c r="O34" s="102"/>
    </row>
    <row r="35" spans="1:15">
      <c r="A35" s="2"/>
      <c r="B35" s="69"/>
      <c r="C35" s="111"/>
      <c r="D35" s="111"/>
      <c r="E35" s="120"/>
      <c r="F35" s="111"/>
      <c r="G35" s="69"/>
      <c r="H35" s="34"/>
      <c r="I35" s="111"/>
      <c r="J35" s="94"/>
      <c r="K35" s="94"/>
      <c r="L35" s="94"/>
      <c r="M35" s="94"/>
      <c r="N35" s="101"/>
      <c r="O35" s="102"/>
    </row>
    <row r="36" spans="1:15" ht="30" customHeight="1">
      <c r="A36" s="2"/>
      <c r="B36" s="69" t="s">
        <v>185</v>
      </c>
      <c r="C36" s="408"/>
      <c r="D36" s="408"/>
      <c r="E36" s="408"/>
      <c r="F36" s="408"/>
      <c r="G36" s="408"/>
      <c r="H36" s="408"/>
      <c r="I36" s="408"/>
      <c r="J36" s="408"/>
      <c r="K36" s="408"/>
      <c r="L36" s="408"/>
      <c r="M36" s="94"/>
      <c r="N36" s="101"/>
      <c r="O36" s="102"/>
    </row>
    <row r="37" spans="1:15">
      <c r="A37" s="2"/>
      <c r="B37" s="69"/>
      <c r="C37" s="111"/>
      <c r="D37" s="111"/>
      <c r="E37" s="111"/>
      <c r="F37" s="111"/>
      <c r="G37" s="111"/>
      <c r="H37" s="111"/>
      <c r="I37" s="111"/>
      <c r="J37" s="111"/>
      <c r="K37" s="111"/>
      <c r="L37" s="111"/>
      <c r="M37" s="94"/>
      <c r="N37" s="101"/>
      <c r="O37" s="102"/>
    </row>
    <row r="38" spans="1:15" ht="18" customHeight="1">
      <c r="A38" s="2"/>
      <c r="B38" s="69"/>
      <c r="C38" s="111"/>
      <c r="D38" s="111"/>
      <c r="E38" s="111"/>
      <c r="F38" s="111"/>
      <c r="G38" s="111"/>
      <c r="H38" s="111"/>
      <c r="I38" s="111"/>
      <c r="J38" s="111"/>
      <c r="K38" s="111"/>
      <c r="L38" s="111"/>
      <c r="M38" s="94"/>
      <c r="N38" s="101"/>
      <c r="O38" s="102"/>
    </row>
    <row r="39" spans="1:15" ht="15.5">
      <c r="A39" s="103"/>
      <c r="B39" s="104" t="s">
        <v>187</v>
      </c>
      <c r="C39" s="121"/>
      <c r="D39" s="121"/>
      <c r="E39" s="121"/>
      <c r="F39" s="121"/>
      <c r="G39" s="121"/>
      <c r="H39" s="121"/>
      <c r="I39" s="121"/>
      <c r="J39" s="121"/>
      <c r="K39" s="121"/>
      <c r="L39" s="121"/>
      <c r="M39" s="106"/>
      <c r="N39" s="108"/>
      <c r="O39" s="109"/>
    </row>
    <row r="40" spans="1:15">
      <c r="A40" s="2"/>
      <c r="B40" s="69"/>
      <c r="C40" s="111"/>
      <c r="D40" s="111"/>
      <c r="E40" s="111"/>
      <c r="F40" s="111"/>
      <c r="G40" s="111"/>
      <c r="H40" s="111"/>
      <c r="I40" s="111"/>
      <c r="J40" s="111"/>
      <c r="K40" s="111"/>
      <c r="L40" s="111"/>
      <c r="M40" s="94"/>
      <c r="N40" s="101"/>
      <c r="O40" s="102"/>
    </row>
    <row r="41" spans="1:15">
      <c r="A41" s="2"/>
      <c r="C41" s="111"/>
      <c r="D41" s="111"/>
      <c r="E41" s="111"/>
      <c r="F41" s="69" t="s">
        <v>322</v>
      </c>
      <c r="G41" s="111"/>
      <c r="H41" s="111"/>
      <c r="I41" s="111"/>
      <c r="J41" s="111"/>
      <c r="K41" s="111"/>
      <c r="L41" s="111"/>
      <c r="M41" s="94"/>
      <c r="N41" s="101"/>
      <c r="O41" s="102"/>
    </row>
    <row r="42" spans="1:15">
      <c r="A42" s="2"/>
      <c r="B42" s="69"/>
      <c r="C42" s="111"/>
      <c r="D42" s="111"/>
      <c r="E42" s="111"/>
      <c r="F42" s="111"/>
      <c r="G42" s="111"/>
      <c r="H42" s="111"/>
      <c r="I42" s="111"/>
      <c r="J42" s="111"/>
      <c r="K42" s="111"/>
      <c r="L42" s="111"/>
      <c r="M42" s="94"/>
      <c r="N42" s="101"/>
      <c r="O42" s="102"/>
    </row>
    <row r="43" spans="1:15">
      <c r="A43" s="2"/>
      <c r="B43" s="69" t="s">
        <v>324</v>
      </c>
      <c r="C43" s="111"/>
      <c r="D43" s="111"/>
      <c r="E43" s="111"/>
      <c r="F43" s="61"/>
      <c r="G43" s="111"/>
      <c r="H43" s="111"/>
      <c r="I43" s="111"/>
      <c r="J43" s="111"/>
      <c r="K43" s="111"/>
      <c r="L43" s="111"/>
      <c r="M43" s="94"/>
      <c r="N43" s="101"/>
      <c r="O43" s="102"/>
    </row>
    <row r="44" spans="1:15">
      <c r="A44" s="2"/>
      <c r="B44" s="69"/>
      <c r="C44" s="111"/>
      <c r="D44" s="111"/>
      <c r="E44" s="111"/>
      <c r="F44" s="111"/>
      <c r="G44" s="111"/>
      <c r="H44" s="111"/>
      <c r="I44" s="111"/>
      <c r="J44" s="111"/>
      <c r="K44" s="111"/>
      <c r="L44" s="111"/>
      <c r="M44" s="94"/>
      <c r="N44" s="101"/>
      <c r="O44" s="102"/>
    </row>
    <row r="45" spans="1:15">
      <c r="A45" s="2"/>
      <c r="B45" s="69" t="s">
        <v>188</v>
      </c>
      <c r="C45" s="405" t="s">
        <v>193</v>
      </c>
      <c r="D45" s="405"/>
      <c r="E45" s="405"/>
      <c r="F45" s="286">
        <v>110000</v>
      </c>
      <c r="G45" s="111"/>
      <c r="H45" s="2"/>
      <c r="I45" s="2"/>
      <c r="J45" s="111"/>
      <c r="K45" s="111"/>
      <c r="L45" s="111"/>
      <c r="M45" s="94"/>
      <c r="N45" s="101"/>
      <c r="O45" s="102"/>
    </row>
    <row r="46" spans="1:15">
      <c r="A46" s="2"/>
      <c r="B46" s="69"/>
      <c r="C46" s="405"/>
      <c r="D46" s="405"/>
      <c r="E46" s="405"/>
      <c r="F46" s="111"/>
      <c r="G46" s="111"/>
      <c r="H46" s="111"/>
      <c r="I46" s="111"/>
      <c r="J46" s="111"/>
      <c r="K46" s="111"/>
      <c r="L46" s="111"/>
      <c r="M46" s="94"/>
      <c r="N46" s="101"/>
      <c r="O46" s="102"/>
    </row>
    <row r="47" spans="1:15">
      <c r="A47" s="2"/>
      <c r="B47" s="69" t="s">
        <v>189</v>
      </c>
      <c r="C47" s="406" t="s">
        <v>332</v>
      </c>
      <c r="D47" s="406"/>
      <c r="E47" s="406"/>
      <c r="F47" s="286">
        <v>4000</v>
      </c>
      <c r="G47" s="111"/>
      <c r="H47" s="111"/>
      <c r="I47" s="111"/>
      <c r="J47" s="111"/>
      <c r="K47" s="111"/>
      <c r="L47" s="111"/>
      <c r="M47" s="94"/>
      <c r="N47" s="101"/>
      <c r="O47" s="102"/>
    </row>
    <row r="48" spans="1:15">
      <c r="A48" s="2"/>
      <c r="B48" s="69"/>
      <c r="C48" s="406"/>
      <c r="D48" s="406"/>
      <c r="E48" s="406"/>
      <c r="F48" s="111"/>
      <c r="G48" s="111"/>
      <c r="H48" s="111"/>
      <c r="I48" s="111"/>
      <c r="J48" s="111"/>
      <c r="K48" s="111"/>
      <c r="L48" s="111"/>
      <c r="M48" s="94"/>
      <c r="N48" s="101"/>
      <c r="O48" s="102"/>
    </row>
    <row r="49" spans="1:15">
      <c r="A49" s="2"/>
      <c r="B49" s="69" t="s">
        <v>345</v>
      </c>
      <c r="C49" s="405" t="s">
        <v>333</v>
      </c>
      <c r="D49" s="406"/>
      <c r="E49" s="406"/>
      <c r="F49" s="286">
        <v>100000</v>
      </c>
      <c r="G49" s="111"/>
      <c r="H49" s="111"/>
      <c r="I49" s="111"/>
      <c r="J49" s="111"/>
      <c r="K49" s="111"/>
      <c r="L49" s="111"/>
      <c r="M49" s="94"/>
      <c r="N49" s="101"/>
      <c r="O49" s="102"/>
    </row>
    <row r="50" spans="1:15">
      <c r="A50" s="2"/>
      <c r="B50" s="69"/>
      <c r="C50" s="406"/>
      <c r="D50" s="406"/>
      <c r="E50" s="406"/>
      <c r="F50" s="111"/>
      <c r="G50" s="111"/>
      <c r="H50" s="111"/>
      <c r="I50" s="111"/>
      <c r="J50" s="111"/>
      <c r="K50" s="111"/>
      <c r="L50" s="111"/>
      <c r="M50" s="94"/>
      <c r="N50" s="101"/>
      <c r="O50" s="102"/>
    </row>
    <row r="51" spans="1:15">
      <c r="A51" s="2"/>
      <c r="B51" s="69" t="s">
        <v>38</v>
      </c>
      <c r="C51" s="123" t="s">
        <v>334</v>
      </c>
      <c r="D51" s="124"/>
      <c r="E51" s="124"/>
      <c r="F51" s="286" t="s">
        <v>323</v>
      </c>
      <c r="G51" s="111"/>
      <c r="H51" s="111"/>
      <c r="I51" s="111"/>
      <c r="J51" s="111"/>
      <c r="K51" s="111"/>
      <c r="L51" s="111"/>
      <c r="M51" s="94"/>
      <c r="N51" s="101"/>
      <c r="O51" s="102"/>
    </row>
    <row r="52" spans="1:15">
      <c r="A52" s="2"/>
      <c r="B52" s="69"/>
      <c r="C52" s="124"/>
      <c r="D52" s="124"/>
      <c r="E52" s="124"/>
      <c r="F52" s="111"/>
      <c r="G52" s="111"/>
      <c r="H52" s="111"/>
      <c r="I52" s="111"/>
      <c r="J52" s="111"/>
      <c r="K52" s="111"/>
      <c r="L52" s="111"/>
      <c r="M52" s="94"/>
      <c r="N52" s="101"/>
      <c r="O52" s="102"/>
    </row>
    <row r="53" spans="1:15" ht="14.9" customHeight="1">
      <c r="A53" s="2"/>
      <c r="B53" s="69" t="s">
        <v>191</v>
      </c>
      <c r="C53" s="405" t="s">
        <v>445</v>
      </c>
      <c r="D53" s="405"/>
      <c r="E53" s="405"/>
      <c r="F53" s="286">
        <v>1000000</v>
      </c>
      <c r="G53" s="111"/>
      <c r="H53" s="111"/>
      <c r="I53" s="111"/>
      <c r="J53" s="111"/>
      <c r="K53" s="111"/>
      <c r="L53" s="111"/>
      <c r="M53" s="94"/>
      <c r="N53" s="101"/>
      <c r="O53" s="102"/>
    </row>
    <row r="54" spans="1:15">
      <c r="A54" s="2"/>
      <c r="B54" s="69"/>
      <c r="C54" s="405"/>
      <c r="D54" s="405"/>
      <c r="E54" s="405"/>
      <c r="F54" s="111"/>
      <c r="G54" s="111"/>
      <c r="H54" s="111"/>
      <c r="I54" s="111"/>
      <c r="J54" s="111"/>
      <c r="K54" s="111"/>
      <c r="L54" s="111"/>
      <c r="M54" s="94"/>
      <c r="N54" s="101"/>
      <c r="O54" s="102"/>
    </row>
    <row r="55" spans="1:15" ht="20" customHeight="1">
      <c r="A55" s="2"/>
      <c r="B55" s="69"/>
      <c r="C55" s="405"/>
      <c r="D55" s="405"/>
      <c r="E55" s="405"/>
      <c r="F55" s="111"/>
      <c r="G55" s="111"/>
      <c r="H55" s="111"/>
      <c r="I55" s="111"/>
      <c r="J55" s="111"/>
      <c r="K55" s="111"/>
      <c r="L55" s="111"/>
      <c r="M55" s="94"/>
      <c r="N55" s="101"/>
      <c r="O55" s="102"/>
    </row>
    <row r="56" spans="1:15">
      <c r="A56" s="2"/>
      <c r="B56" s="69" t="s">
        <v>190</v>
      </c>
      <c r="C56" s="124" t="s">
        <v>194</v>
      </c>
      <c r="D56" s="124"/>
      <c r="E56" s="124"/>
      <c r="F56" s="286" t="s">
        <v>323</v>
      </c>
      <c r="G56" s="111"/>
      <c r="H56" s="2"/>
      <c r="I56" s="2"/>
      <c r="J56" s="111"/>
      <c r="K56" s="111"/>
      <c r="L56" s="111"/>
      <c r="M56" s="94"/>
      <c r="N56" s="101"/>
      <c r="O56" s="102"/>
    </row>
    <row r="57" spans="1:15">
      <c r="A57" s="2"/>
      <c r="B57" s="69"/>
      <c r="C57" s="124"/>
      <c r="D57" s="124"/>
      <c r="E57" s="124"/>
      <c r="F57" s="124"/>
      <c r="G57" s="111"/>
      <c r="H57" s="122"/>
      <c r="I57" s="111"/>
      <c r="J57" s="111"/>
      <c r="K57" s="111"/>
      <c r="L57" s="111"/>
      <c r="M57" s="94"/>
      <c r="N57" s="101"/>
      <c r="O57" s="102"/>
    </row>
    <row r="58" spans="1:15">
      <c r="A58" s="2"/>
      <c r="B58" s="122" t="s">
        <v>197</v>
      </c>
      <c r="C58" s="2"/>
      <c r="D58" s="2"/>
      <c r="E58" s="2"/>
      <c r="F58" s="287">
        <f>SUM(F45,F47,F49,F51,F53,F56)</f>
        <v>1214000</v>
      </c>
      <c r="G58" s="111"/>
      <c r="H58" s="122"/>
      <c r="I58" s="111"/>
      <c r="J58" s="111"/>
      <c r="K58" s="111"/>
      <c r="L58" s="111"/>
      <c r="M58" s="94"/>
      <c r="N58" s="101"/>
      <c r="O58" s="102"/>
    </row>
    <row r="59" spans="1:15">
      <c r="A59" s="2"/>
      <c r="B59" s="69"/>
      <c r="C59" s="111"/>
      <c r="D59" s="111"/>
      <c r="E59" s="111"/>
      <c r="F59" s="111"/>
      <c r="G59" s="111"/>
      <c r="H59" s="111"/>
      <c r="I59" s="111"/>
      <c r="J59" s="111"/>
      <c r="K59" s="111"/>
      <c r="L59" s="111"/>
      <c r="M59" s="94"/>
      <c r="N59" s="101"/>
      <c r="O59" s="102"/>
    </row>
    <row r="60" spans="1:15" ht="15.5">
      <c r="A60" s="103"/>
      <c r="B60" s="104" t="s">
        <v>192</v>
      </c>
      <c r="C60" s="121"/>
      <c r="D60" s="121"/>
      <c r="E60" s="121"/>
      <c r="F60" s="121"/>
      <c r="G60" s="121"/>
      <c r="H60" s="121"/>
      <c r="I60" s="121"/>
      <c r="J60" s="121"/>
      <c r="K60" s="121"/>
      <c r="L60" s="121"/>
      <c r="M60" s="106"/>
      <c r="N60" s="108"/>
      <c r="O60" s="109"/>
    </row>
    <row r="61" spans="1:15">
      <c r="A61" s="2"/>
      <c r="B61" s="69"/>
      <c r="C61" s="111"/>
      <c r="D61" s="111"/>
      <c r="E61" s="111"/>
      <c r="F61" s="111"/>
      <c r="G61" s="111"/>
      <c r="H61" s="111"/>
      <c r="I61" s="111"/>
      <c r="J61" s="111"/>
      <c r="K61" s="111"/>
      <c r="L61" s="111"/>
      <c r="M61" s="94"/>
      <c r="N61" s="101"/>
      <c r="O61" s="102"/>
    </row>
    <row r="62" spans="1:15">
      <c r="A62" s="2"/>
      <c r="C62" s="111"/>
      <c r="D62" s="111"/>
      <c r="E62" s="111"/>
      <c r="F62" s="69" t="s">
        <v>322</v>
      </c>
      <c r="G62" s="111"/>
      <c r="H62" s="111"/>
      <c r="I62" s="111"/>
      <c r="J62" s="111"/>
      <c r="K62" s="111"/>
      <c r="L62" s="111"/>
      <c r="M62" s="94"/>
      <c r="N62" s="101"/>
      <c r="O62" s="102"/>
    </row>
    <row r="63" spans="1:15">
      <c r="A63" s="2"/>
      <c r="B63" s="69"/>
      <c r="C63" s="111"/>
      <c r="D63" s="111"/>
      <c r="E63" s="111"/>
      <c r="F63" s="111"/>
      <c r="G63" s="111"/>
      <c r="H63" s="111"/>
      <c r="I63" s="111"/>
      <c r="J63" s="111"/>
      <c r="K63" s="111"/>
      <c r="L63" s="111"/>
      <c r="M63" s="94"/>
      <c r="N63" s="101"/>
      <c r="O63" s="102"/>
    </row>
    <row r="64" spans="1:15">
      <c r="A64" s="2"/>
      <c r="B64" s="69" t="s">
        <v>325</v>
      </c>
      <c r="C64" s="111"/>
      <c r="D64" s="111"/>
      <c r="E64" s="111"/>
      <c r="F64" s="61"/>
      <c r="G64" s="111"/>
      <c r="H64" s="111"/>
      <c r="I64" s="111"/>
      <c r="J64" s="111"/>
      <c r="K64" s="111"/>
      <c r="L64" s="111"/>
      <c r="M64" s="94"/>
      <c r="N64" s="101"/>
      <c r="O64" s="102"/>
    </row>
    <row r="65" spans="1:15">
      <c r="A65" s="2"/>
      <c r="B65" s="69"/>
      <c r="C65" s="111"/>
      <c r="D65" s="111"/>
      <c r="E65" s="111"/>
      <c r="F65" s="111"/>
      <c r="G65" s="111"/>
      <c r="H65" s="111"/>
      <c r="I65" s="111"/>
      <c r="J65" s="111"/>
      <c r="K65" s="111"/>
      <c r="L65" s="111"/>
      <c r="M65" s="94"/>
      <c r="N65" s="101"/>
      <c r="O65" s="102"/>
    </row>
    <row r="66" spans="1:15" ht="14.9" customHeight="1">
      <c r="A66" s="2"/>
      <c r="B66" s="69" t="s">
        <v>188</v>
      </c>
      <c r="C66" s="405" t="s">
        <v>193</v>
      </c>
      <c r="D66" s="405"/>
      <c r="E66" s="405"/>
      <c r="F66" s="286" t="s">
        <v>323</v>
      </c>
      <c r="G66" s="111"/>
      <c r="I66" s="2"/>
      <c r="J66" s="111"/>
      <c r="K66" s="111"/>
      <c r="L66" s="111"/>
      <c r="M66" s="94"/>
      <c r="N66" s="101"/>
      <c r="O66" s="102"/>
    </row>
    <row r="67" spans="1:15">
      <c r="A67" s="2"/>
      <c r="B67" s="69"/>
      <c r="C67" s="405"/>
      <c r="D67" s="405"/>
      <c r="E67" s="405"/>
      <c r="F67" s="111"/>
      <c r="G67" s="111"/>
      <c r="H67" s="111"/>
      <c r="I67" s="111"/>
      <c r="J67" s="111"/>
      <c r="K67" s="111"/>
      <c r="L67" s="111"/>
      <c r="M67" s="94"/>
      <c r="N67" s="101"/>
      <c r="O67" s="102"/>
    </row>
    <row r="68" spans="1:15">
      <c r="A68" s="2"/>
      <c r="B68" s="69" t="s">
        <v>189</v>
      </c>
      <c r="C68" s="406" t="s">
        <v>332</v>
      </c>
      <c r="D68" s="406"/>
      <c r="E68" s="406"/>
      <c r="F68" s="286" t="s">
        <v>323</v>
      </c>
      <c r="G68" s="111"/>
      <c r="H68" s="111"/>
      <c r="I68" s="111"/>
      <c r="J68" s="111"/>
      <c r="K68" s="111"/>
      <c r="L68" s="111"/>
      <c r="M68" s="94"/>
      <c r="N68" s="101"/>
      <c r="O68" s="102"/>
    </row>
    <row r="69" spans="1:15">
      <c r="A69" s="2"/>
      <c r="B69" s="69"/>
      <c r="C69" s="406"/>
      <c r="D69" s="406"/>
      <c r="E69" s="406"/>
      <c r="F69" s="111"/>
      <c r="G69" s="111"/>
      <c r="H69" s="111"/>
      <c r="I69" s="111"/>
      <c r="J69" s="111"/>
      <c r="K69" s="111"/>
      <c r="L69" s="111"/>
      <c r="M69" s="94"/>
      <c r="N69" s="101"/>
      <c r="O69" s="102"/>
    </row>
    <row r="70" spans="1:15" ht="14.9" customHeight="1">
      <c r="A70" s="2"/>
      <c r="B70" s="69" t="s">
        <v>345</v>
      </c>
      <c r="C70" s="405" t="s">
        <v>333</v>
      </c>
      <c r="D70" s="406"/>
      <c r="E70" s="406"/>
      <c r="F70" s="286" t="s">
        <v>323</v>
      </c>
      <c r="G70" s="111"/>
      <c r="H70" s="111"/>
      <c r="I70" s="111"/>
      <c r="J70" s="111"/>
      <c r="K70" s="111"/>
      <c r="L70" s="111"/>
      <c r="M70" s="94"/>
      <c r="N70" s="101"/>
      <c r="O70" s="102"/>
    </row>
    <row r="71" spans="1:15">
      <c r="A71" s="2"/>
      <c r="B71" s="69"/>
      <c r="C71" s="406"/>
      <c r="D71" s="406"/>
      <c r="E71" s="406"/>
      <c r="F71" s="111"/>
      <c r="G71" s="100"/>
      <c r="H71" s="101"/>
      <c r="I71" s="101"/>
      <c r="J71" s="94"/>
      <c r="K71" s="94"/>
      <c r="L71" s="94"/>
      <c r="M71" s="94"/>
      <c r="N71" s="101"/>
      <c r="O71" s="102"/>
    </row>
    <row r="72" spans="1:15">
      <c r="A72" s="2"/>
      <c r="B72" s="69" t="s">
        <v>38</v>
      </c>
      <c r="C72" s="123" t="s">
        <v>334</v>
      </c>
      <c r="D72" s="124"/>
      <c r="E72" s="124"/>
      <c r="F72" s="286" t="s">
        <v>323</v>
      </c>
      <c r="G72" s="2"/>
      <c r="H72" s="2"/>
      <c r="I72" s="2"/>
      <c r="J72" s="2"/>
      <c r="K72" s="2"/>
      <c r="L72" s="2"/>
      <c r="M72" s="2"/>
      <c r="N72" s="2"/>
      <c r="O72" s="49"/>
    </row>
    <row r="73" spans="1:15">
      <c r="A73" s="2"/>
      <c r="B73" s="69"/>
      <c r="C73" s="124"/>
      <c r="D73" s="124"/>
      <c r="E73" s="124"/>
      <c r="F73" s="111"/>
      <c r="G73" s="2"/>
      <c r="H73" s="2"/>
      <c r="I73" s="2"/>
      <c r="J73" s="2"/>
      <c r="K73" s="2"/>
      <c r="L73" s="2"/>
      <c r="M73" s="2"/>
      <c r="N73" s="2"/>
      <c r="O73" s="49"/>
    </row>
    <row r="74" spans="1:15">
      <c r="A74" s="2"/>
      <c r="B74" s="69" t="s">
        <v>191</v>
      </c>
      <c r="C74" s="405" t="s">
        <v>445</v>
      </c>
      <c r="D74" s="406"/>
      <c r="E74" s="406"/>
      <c r="F74" s="286" t="s">
        <v>323</v>
      </c>
      <c r="G74" s="2"/>
      <c r="H74" s="2"/>
      <c r="I74" s="2"/>
      <c r="J74" s="2"/>
      <c r="K74" s="2"/>
      <c r="L74" s="2"/>
      <c r="M74" s="2"/>
      <c r="N74" s="2"/>
      <c r="O74" s="49"/>
    </row>
    <row r="75" spans="1:15" ht="31.5" customHeight="1">
      <c r="A75" s="2"/>
      <c r="B75" s="69"/>
      <c r="C75" s="406"/>
      <c r="D75" s="406"/>
      <c r="E75" s="406"/>
      <c r="F75" s="111"/>
      <c r="G75" s="2"/>
      <c r="H75" s="2"/>
      <c r="I75" s="2"/>
      <c r="J75" s="2"/>
      <c r="K75" s="2"/>
      <c r="L75" s="2"/>
      <c r="M75" s="2"/>
      <c r="N75" s="2"/>
      <c r="O75" s="49"/>
    </row>
    <row r="76" spans="1:15">
      <c r="A76" s="2"/>
      <c r="B76" s="69" t="s">
        <v>190</v>
      </c>
      <c r="C76" s="124" t="s">
        <v>194</v>
      </c>
      <c r="D76" s="124"/>
      <c r="E76" s="124"/>
      <c r="F76" s="286" t="s">
        <v>323</v>
      </c>
      <c r="G76" s="2"/>
      <c r="I76" s="2"/>
      <c r="J76" s="2"/>
      <c r="K76" s="2"/>
      <c r="L76" s="2"/>
      <c r="M76" s="2"/>
      <c r="N76" s="2"/>
      <c r="O76" s="49"/>
    </row>
    <row r="77" spans="1:15">
      <c r="A77" s="2"/>
      <c r="B77" s="69"/>
      <c r="C77" s="124"/>
      <c r="D77" s="124"/>
      <c r="E77" s="124"/>
      <c r="F77" s="124"/>
      <c r="G77" s="2"/>
      <c r="H77" s="122"/>
      <c r="I77" s="111"/>
      <c r="J77" s="2"/>
      <c r="K77" s="2"/>
      <c r="L77" s="2"/>
      <c r="M77" s="2"/>
      <c r="N77" s="2"/>
      <c r="O77" s="49"/>
    </row>
    <row r="78" spans="1:15">
      <c r="A78" s="2"/>
      <c r="B78" s="122" t="s">
        <v>197</v>
      </c>
      <c r="C78" s="124"/>
      <c r="D78" s="124"/>
      <c r="F78" s="287">
        <f>SUM(F66,F68,F70,F72,F74,F76)</f>
        <v>0</v>
      </c>
      <c r="G78" s="2"/>
      <c r="H78" s="122"/>
      <c r="I78" s="111"/>
      <c r="J78" s="2"/>
      <c r="K78" s="2"/>
      <c r="L78" s="2"/>
      <c r="M78" s="2"/>
      <c r="N78" s="2"/>
      <c r="O78" s="49"/>
    </row>
    <row r="79" spans="1:15" ht="15" thickBot="1">
      <c r="A79" s="52"/>
      <c r="B79" s="52"/>
      <c r="C79" s="52"/>
      <c r="D79" s="52"/>
      <c r="E79" s="52"/>
      <c r="F79" s="52"/>
      <c r="G79" s="52"/>
      <c r="H79" s="52"/>
      <c r="I79" s="52"/>
      <c r="J79" s="52"/>
      <c r="K79" s="52"/>
      <c r="L79" s="52"/>
      <c r="M79" s="52"/>
      <c r="N79" s="52"/>
      <c r="O79" s="53"/>
    </row>
  </sheetData>
  <sheetProtection algorithmName="SHA-512" hashValue="CEu7vtb/aBz9ebAmWKsc9nV/AZgbnLDcvrxOtS/Gw414yf/BTezGae2xt9N2TRe+ueb4LwiVXFJUYLySBVIGag==" saltValue="u/pMuigl143AZV5jTu7VAw==" spinCount="100000" sheet="1" objects="1" scenarios="1"/>
  <customSheetViews>
    <customSheetView guid="{B75063BA-4717-43F8-8B16-CDCBE07E925A}" scale="60" showPageBreaks="1" view="pageBreakPreview">
      <selection activeCell="Q34" sqref="Q34"/>
    </customSheetView>
  </customSheetViews>
  <mergeCells count="19">
    <mergeCell ref="C49:E50"/>
    <mergeCell ref="C53:E55"/>
    <mergeCell ref="C34:L34"/>
    <mergeCell ref="B1:F1"/>
    <mergeCell ref="B31:B32"/>
    <mergeCell ref="C5:H5"/>
    <mergeCell ref="C74:E75"/>
    <mergeCell ref="Q3:S3"/>
    <mergeCell ref="C66:E67"/>
    <mergeCell ref="C68:E69"/>
    <mergeCell ref="C70:E71"/>
    <mergeCell ref="F7:H7"/>
    <mergeCell ref="I10:L10"/>
    <mergeCell ref="I15:L15"/>
    <mergeCell ref="I13:L13"/>
    <mergeCell ref="F29:L29"/>
    <mergeCell ref="C45:E46"/>
    <mergeCell ref="C47:E48"/>
    <mergeCell ref="C36:L36"/>
  </mergeCells>
  <pageMargins left="0.70866141732283472" right="0.70866141732283472" top="0.74803149606299213" bottom="0.74803149606299213" header="0.31496062992125984" footer="0.31496062992125984"/>
  <pageSetup paperSize="9" scale="62" orientation="landscape" horizontalDpi="200" verticalDpi="200" r:id="rId1"/>
  <headerFooter>
    <oddHeader xml:space="preserve">&amp;L&amp;D&amp;C&amp;"+,Fett"&amp;14&amp;A&amp;R&amp;P/&amp;N
</oddHeader>
  </headerFooter>
  <rowBreaks count="1" manualBreakCount="1">
    <brk id="38" max="12" man="1"/>
  </rowBreaks>
  <extLst>
    <ext xmlns:x14="http://schemas.microsoft.com/office/spreadsheetml/2009/9/main" uri="{CCE6A557-97BC-4b89-ADB6-D9C93CAAB3DF}">
      <x14:dataValidations xmlns:xm="http://schemas.microsoft.com/office/excel/2006/main" count="8">
        <x14:dataValidation type="list" allowBlank="1" showInputMessage="1" showErrorMessage="1" xr:uid="{D5EFB677-683F-4CC8-9924-E5282F59ACD5}">
          <x14:formula1>
            <xm:f>key!$M$3:$M$4</xm:f>
          </x14:formula1>
          <xm:sqref>C29</xm:sqref>
        </x14:dataValidation>
        <x14:dataValidation type="list" allowBlank="1" showInputMessage="1" showErrorMessage="1" xr:uid="{7C03723B-13AD-47A9-AB40-51BCFEE47466}">
          <x14:formula1>
            <xm:f>key!$M$6:$M$7</xm:f>
          </x14:formula1>
          <xm:sqref>I27</xm:sqref>
        </x14:dataValidation>
        <x14:dataValidation type="list" allowBlank="1" showInputMessage="1" showErrorMessage="1" xr:uid="{E0CA29AE-B63E-4EBA-A350-8FDCC2AFD066}">
          <x14:formula1>
            <xm:f>key!$B$25:$B$26</xm:f>
          </x14:formula1>
          <xm:sqref>C25 F25 I25 L25 C20</xm:sqref>
        </x14:dataValidation>
        <x14:dataValidation type="list" allowBlank="1" showInputMessage="1" showErrorMessage="1" xr:uid="{9B7B4DBC-18EB-4CA3-8757-1044FBCD16F0}">
          <x14:formula1>
            <xm:f>key!$H$25:$H$68</xm:f>
          </x14:formula1>
          <xm:sqref>C22</xm:sqref>
        </x14:dataValidation>
        <x14:dataValidation type="list" allowBlank="1" showInputMessage="1" showErrorMessage="1" xr:uid="{0D294A79-B1AE-436B-9B51-857C6562AB84}">
          <x14:formula1>
            <xm:f>key!$D$25:$D$28</xm:f>
          </x14:formula1>
          <xm:sqref>C27</xm:sqref>
        </x14:dataValidation>
        <x14:dataValidation type="list" allowBlank="1" showInputMessage="1" showErrorMessage="1" xr:uid="{B1E5F202-BDB0-4CC7-9A5E-D352A30B87D7}">
          <x14:formula1>
            <xm:f>key!$J$25:$J$46</xm:f>
          </x14:formula1>
          <xm:sqref>F29</xm:sqref>
        </x14:dataValidation>
        <x14:dataValidation type="list" allowBlank="1" showInputMessage="1" showErrorMessage="1" xr:uid="{515DC925-9EDF-4B00-8103-FFB8E2251C45}">
          <x14:formula1>
            <xm:f>key!$L$25:$L$27</xm:f>
          </x14:formula1>
          <xm:sqref>C7</xm:sqref>
        </x14:dataValidation>
        <x14:dataValidation type="list" allowBlank="1" showInputMessage="1" showErrorMessage="1" xr:uid="{15372EC9-8352-4A5F-BCC7-9B3C7F6539FB}">
          <x14:formula1>
            <xm:f>key!$F$25:$F$28</xm:f>
          </x14:formula1>
          <xm:sqref>I15:L15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93F0-217C-4639-823E-C60B047FE61C}">
  <sheetPr>
    <pageSetUpPr autoPageBreaks="0" fitToPage="1"/>
  </sheetPr>
  <dimension ref="A1:AA31"/>
  <sheetViews>
    <sheetView zoomScaleNormal="100" workbookViewId="0">
      <selection activeCell="X37" sqref="X37"/>
    </sheetView>
  </sheetViews>
  <sheetFormatPr baseColWidth="10" defaultRowHeight="15" customHeight="1"/>
  <cols>
    <col min="2" max="2" width="7.54296875" customWidth="1"/>
    <col min="6" max="6" width="17.453125" customWidth="1"/>
    <col min="7" max="7" width="9.453125" customWidth="1"/>
    <col min="13" max="13" width="10.54296875" customWidth="1"/>
    <col min="14" max="14" width="21.54296875" customWidth="1"/>
    <col min="15" max="15" width="27.453125" customWidth="1"/>
  </cols>
  <sheetData>
    <row r="1" spans="1:27" ht="17.899999999999999" customHeight="1">
      <c r="A1" s="497" t="str">
        <f>IF(Stammdaten!C5&lt;&gt;"", Stammdaten!C5,"")</f>
        <v>Revitalisierung am Gewässer XY</v>
      </c>
      <c r="B1" s="497"/>
      <c r="C1" s="497"/>
      <c r="D1" s="497"/>
      <c r="E1" s="497"/>
      <c r="F1" s="497"/>
      <c r="G1" s="497"/>
      <c r="H1" s="497"/>
      <c r="I1" s="497"/>
      <c r="J1" s="432"/>
      <c r="K1" s="432"/>
      <c r="L1" s="432"/>
      <c r="M1" s="432"/>
      <c r="N1" s="432"/>
      <c r="O1" s="432"/>
      <c r="P1" s="432"/>
      <c r="Q1" s="432"/>
      <c r="R1" s="432"/>
      <c r="S1" s="432"/>
      <c r="T1" s="432"/>
      <c r="U1" s="432"/>
      <c r="V1" s="432"/>
      <c r="W1" s="432"/>
      <c r="X1" s="432"/>
      <c r="Y1" s="432"/>
      <c r="Z1" s="432"/>
      <c r="AA1" s="432"/>
    </row>
    <row r="2" spans="1:27" ht="15" customHeight="1" thickBot="1">
      <c r="A2" s="17"/>
      <c r="B2" s="4"/>
      <c r="C2" s="4"/>
      <c r="D2" s="4"/>
      <c r="E2" s="4"/>
      <c r="F2" s="4"/>
      <c r="G2" s="4"/>
      <c r="H2" s="4"/>
      <c r="I2" s="12"/>
    </row>
    <row r="3" spans="1:27" ht="20.149999999999999" customHeight="1">
      <c r="A3" s="18" t="s">
        <v>89</v>
      </c>
      <c r="B3" s="2"/>
      <c r="C3" s="2"/>
      <c r="D3" s="2"/>
      <c r="E3" s="2"/>
      <c r="F3" s="2"/>
      <c r="G3" s="2"/>
      <c r="H3" s="2"/>
      <c r="I3" s="5"/>
      <c r="K3" s="453" t="s">
        <v>0</v>
      </c>
      <c r="L3" s="454"/>
      <c r="M3" s="455" t="s">
        <v>387</v>
      </c>
      <c r="N3" s="456"/>
    </row>
    <row r="4" spans="1:27" ht="15" customHeight="1">
      <c r="A4" s="448" t="s">
        <v>29</v>
      </c>
      <c r="B4" s="449"/>
      <c r="C4" s="522"/>
      <c r="D4" s="522"/>
      <c r="E4" s="522"/>
      <c r="F4" s="522"/>
      <c r="G4" s="522"/>
      <c r="H4" s="10"/>
      <c r="I4" s="5"/>
      <c r="K4" s="465" t="s">
        <v>2</v>
      </c>
      <c r="L4" s="466"/>
      <c r="M4" s="376">
        <v>1</v>
      </c>
      <c r="N4" s="270" t="s">
        <v>61</v>
      </c>
    </row>
    <row r="5" spans="1:27" ht="15" customHeight="1">
      <c r="A5" s="11"/>
      <c r="B5" s="10"/>
      <c r="C5" s="2"/>
      <c r="D5" s="2"/>
      <c r="E5" s="2"/>
      <c r="F5" s="2"/>
      <c r="G5" s="2"/>
      <c r="H5" s="2"/>
      <c r="I5" s="5"/>
      <c r="K5" s="465" t="s">
        <v>3</v>
      </c>
      <c r="L5" s="466"/>
      <c r="M5" s="240">
        <v>2</v>
      </c>
      <c r="N5" s="241" t="s">
        <v>63</v>
      </c>
    </row>
    <row r="6" spans="1:27" ht="15" customHeight="1">
      <c r="A6" s="11"/>
      <c r="B6" s="2"/>
      <c r="C6" s="2"/>
      <c r="D6" s="2"/>
      <c r="E6" s="2"/>
      <c r="F6" s="2"/>
      <c r="G6" s="2"/>
      <c r="H6" s="2"/>
      <c r="I6" s="5"/>
      <c r="K6" s="465" t="s">
        <v>5</v>
      </c>
      <c r="L6" s="466"/>
      <c r="M6" s="242">
        <v>3</v>
      </c>
      <c r="N6" s="243" t="s">
        <v>65</v>
      </c>
    </row>
    <row r="7" spans="1:27" ht="15" customHeight="1">
      <c r="A7" s="11" t="s">
        <v>4</v>
      </c>
      <c r="B7" s="2"/>
      <c r="C7" s="23">
        <f>'GeStruk-Ist'!AA16</f>
        <v>3.3031914893617023</v>
      </c>
      <c r="D7" s="2"/>
      <c r="E7" s="2"/>
      <c r="F7" s="2"/>
      <c r="G7" s="23"/>
      <c r="H7" s="13"/>
      <c r="I7" s="5"/>
      <c r="K7" s="465" t="s">
        <v>7</v>
      </c>
      <c r="L7" s="466"/>
      <c r="M7" s="377">
        <v>4</v>
      </c>
      <c r="N7" s="274" t="s">
        <v>67</v>
      </c>
    </row>
    <row r="8" spans="1:27" ht="15" customHeight="1" thickBot="1">
      <c r="A8" s="11"/>
      <c r="B8" s="2"/>
      <c r="C8" s="2"/>
      <c r="D8" s="2"/>
      <c r="E8" s="2"/>
      <c r="F8" s="2"/>
      <c r="G8" s="2"/>
      <c r="H8" s="13"/>
      <c r="I8" s="5"/>
      <c r="K8" s="467" t="s">
        <v>9</v>
      </c>
      <c r="L8" s="468"/>
      <c r="M8" s="262">
        <v>5</v>
      </c>
      <c r="N8" s="263" t="s">
        <v>69</v>
      </c>
    </row>
    <row r="9" spans="1:27" ht="15" customHeight="1">
      <c r="A9" s="11" t="s">
        <v>6</v>
      </c>
      <c r="B9" s="2"/>
      <c r="C9" s="23">
        <f>'GeStruk-Ist'!AA33</f>
        <v>5.3723404255319149</v>
      </c>
      <c r="D9" s="2"/>
      <c r="E9" s="422"/>
      <c r="F9" s="422"/>
      <c r="G9" s="2"/>
      <c r="H9" s="13"/>
      <c r="I9" s="5"/>
      <c r="K9" s="44"/>
      <c r="L9" s="44"/>
    </row>
    <row r="10" spans="1:27" ht="15" customHeight="1">
      <c r="A10" s="11"/>
      <c r="B10" s="2"/>
      <c r="C10" s="2"/>
      <c r="D10" s="2"/>
      <c r="E10" s="422"/>
      <c r="F10" s="422"/>
      <c r="G10" s="27"/>
      <c r="H10" s="13"/>
      <c r="I10" s="5"/>
    </row>
    <row r="11" spans="1:27" ht="15" customHeight="1">
      <c r="A11" s="11" t="s">
        <v>8</v>
      </c>
      <c r="B11" s="2"/>
      <c r="C11" s="23">
        <f>'GeStruk-Ist'!AA45</f>
        <v>3.5</v>
      </c>
      <c r="D11" s="2"/>
      <c r="E11" s="422" t="s">
        <v>106</v>
      </c>
      <c r="F11" s="422"/>
      <c r="G11" s="2"/>
      <c r="H11" s="2"/>
      <c r="I11" s="5"/>
    </row>
    <row r="12" spans="1:27" ht="15" customHeight="1">
      <c r="A12" s="11"/>
      <c r="B12" s="2"/>
      <c r="C12" s="2"/>
      <c r="D12" s="2"/>
      <c r="E12" s="422"/>
      <c r="F12" s="422"/>
      <c r="G12" s="35">
        <f>((C7+C9+C11+(C13*0.5)+(C15*0.5))/4)</f>
        <v>3.9930186170212769</v>
      </c>
      <c r="I12" s="5"/>
    </row>
    <row r="13" spans="1:27" ht="15" customHeight="1">
      <c r="A13" s="11" t="s">
        <v>10</v>
      </c>
      <c r="B13" s="2"/>
      <c r="C13" s="23">
        <f>'GeStruk-Ist'!AA39</f>
        <v>4.1861702127659575</v>
      </c>
      <c r="D13" s="2"/>
      <c r="E13" s="2"/>
      <c r="F13" s="2"/>
      <c r="G13" s="2"/>
      <c r="H13" s="13"/>
      <c r="I13" s="5"/>
    </row>
    <row r="14" spans="1:27" ht="15" customHeight="1">
      <c r="A14" s="11"/>
      <c r="B14" s="2"/>
      <c r="C14" s="2"/>
      <c r="D14" s="2"/>
      <c r="E14" s="443" t="s">
        <v>104</v>
      </c>
      <c r="F14" s="443"/>
      <c r="G14" s="2"/>
      <c r="H14" s="2"/>
      <c r="I14" s="5"/>
    </row>
    <row r="15" spans="1:27" ht="15" customHeight="1">
      <c r="A15" s="11" t="s">
        <v>11</v>
      </c>
      <c r="B15" s="2"/>
      <c r="C15" s="23">
        <f>'GeStruk-Ist'!AA59</f>
        <v>3.4069148936170213</v>
      </c>
      <c r="D15" s="2"/>
      <c r="E15" s="443"/>
      <c r="F15" s="443"/>
      <c r="G15" s="36" t="str">
        <f>VLOOKUP(G12,{0,"5";2.61,"4";3.51,"3";4.41,"2";5.31,"1"},2,1)</f>
        <v>3</v>
      </c>
      <c r="H15" s="2"/>
      <c r="I15" s="5"/>
      <c r="J15" s="45">
        <f>G15+0</f>
        <v>3</v>
      </c>
    </row>
    <row r="16" spans="1:27" ht="15" customHeight="1">
      <c r="A16" s="14"/>
      <c r="B16" s="3"/>
      <c r="C16" s="3"/>
      <c r="D16" s="3"/>
      <c r="E16" s="3"/>
      <c r="F16" s="3"/>
      <c r="G16" s="3"/>
      <c r="H16" s="3"/>
      <c r="I16" s="7"/>
    </row>
    <row r="17" spans="1:10" ht="15" customHeight="1">
      <c r="A17" s="17"/>
      <c r="B17" s="4"/>
      <c r="C17" s="4"/>
      <c r="D17" s="4"/>
      <c r="E17" s="4"/>
      <c r="F17" s="4"/>
      <c r="G17" s="4"/>
      <c r="H17" s="4"/>
      <c r="I17" s="12"/>
    </row>
    <row r="18" spans="1:10" ht="15" customHeight="1">
      <c r="A18" s="18" t="s">
        <v>89</v>
      </c>
      <c r="B18" s="2"/>
      <c r="C18" s="2"/>
      <c r="D18" s="2"/>
      <c r="E18" s="522"/>
      <c r="F18" s="522"/>
      <c r="G18" s="522"/>
      <c r="H18" s="10"/>
      <c r="I18" s="5"/>
    </row>
    <row r="19" spans="1:10" ht="15" customHeight="1">
      <c r="A19" s="448" t="s">
        <v>51</v>
      </c>
      <c r="B19" s="449"/>
      <c r="C19" s="522"/>
      <c r="D19" s="522"/>
      <c r="E19" s="2"/>
      <c r="F19" s="2"/>
      <c r="G19" s="2"/>
      <c r="H19" s="2"/>
      <c r="I19" s="5"/>
    </row>
    <row r="20" spans="1:10" ht="15" customHeight="1">
      <c r="A20" s="11"/>
      <c r="B20" s="10"/>
      <c r="C20" s="2"/>
      <c r="D20" s="2"/>
      <c r="E20" s="2"/>
      <c r="F20" s="2"/>
      <c r="G20" s="2"/>
      <c r="H20" s="2"/>
      <c r="I20" s="5"/>
    </row>
    <row r="21" spans="1:10" ht="15" customHeight="1">
      <c r="A21" s="11"/>
      <c r="B21" s="2"/>
      <c r="C21" s="2"/>
      <c r="D21" s="2"/>
      <c r="E21" s="2"/>
      <c r="F21" s="2"/>
      <c r="G21" s="23"/>
      <c r="H21" s="13"/>
      <c r="I21" s="5"/>
    </row>
    <row r="22" spans="1:10" ht="15" customHeight="1">
      <c r="A22" s="11" t="s">
        <v>4</v>
      </c>
      <c r="B22" s="2"/>
      <c r="C22" s="23">
        <f>'GeStruk-Ziel'!Q15</f>
        <v>4.5</v>
      </c>
      <c r="D22" s="2"/>
      <c r="E22" s="2"/>
      <c r="F22" s="2"/>
      <c r="G22" s="2"/>
      <c r="H22" s="13"/>
      <c r="I22" s="5"/>
    </row>
    <row r="23" spans="1:10" ht="15" customHeight="1">
      <c r="A23" s="11"/>
      <c r="B23" s="2"/>
      <c r="C23" s="2"/>
      <c r="D23" s="2"/>
      <c r="E23" s="422"/>
      <c r="F23" s="422"/>
      <c r="G23" s="2"/>
      <c r="H23" s="13"/>
      <c r="I23" s="5"/>
    </row>
    <row r="24" spans="1:10" ht="15" customHeight="1">
      <c r="A24" s="11" t="s">
        <v>6</v>
      </c>
      <c r="B24" s="2"/>
      <c r="C24" s="23">
        <f>'GeStruk-Ziel'!Q32</f>
        <v>4.5</v>
      </c>
      <c r="D24" s="2"/>
      <c r="E24" s="422"/>
      <c r="F24" s="422"/>
      <c r="G24" s="27"/>
      <c r="H24" s="13"/>
      <c r="I24" s="5"/>
    </row>
    <row r="25" spans="1:10" ht="15" customHeight="1">
      <c r="A25" s="11"/>
      <c r="B25" s="2"/>
      <c r="C25" s="2"/>
      <c r="D25" s="2"/>
      <c r="E25" s="2"/>
      <c r="F25" s="2"/>
      <c r="G25" s="2"/>
      <c r="H25" s="2"/>
      <c r="I25" s="5"/>
    </row>
    <row r="26" spans="1:10" ht="15" customHeight="1">
      <c r="A26" s="11" t="s">
        <v>10</v>
      </c>
      <c r="B26" s="2"/>
      <c r="C26" s="23">
        <f>'GeStruk-Ziel'!Q38</f>
        <v>2</v>
      </c>
      <c r="D26" s="2"/>
      <c r="E26" s="422" t="s">
        <v>106</v>
      </c>
      <c r="F26" s="422"/>
      <c r="G26" s="2"/>
      <c r="H26" s="13"/>
      <c r="I26" s="5"/>
    </row>
    <row r="27" spans="1:10" ht="15" customHeight="1">
      <c r="A27" s="11"/>
      <c r="B27" s="2"/>
      <c r="C27" s="2"/>
      <c r="D27" s="2"/>
      <c r="E27" s="422"/>
      <c r="F27" s="422"/>
      <c r="G27" s="35">
        <f>((C22+C24+C26+(C28*0.5)+(C30*0.5))/4)</f>
        <v>3.375</v>
      </c>
      <c r="H27" s="13"/>
      <c r="I27" s="5"/>
    </row>
    <row r="28" spans="1:10" ht="15" customHeight="1">
      <c r="A28" s="11" t="s">
        <v>8</v>
      </c>
      <c r="B28" s="2"/>
      <c r="C28" s="23">
        <f>'GeStruk-Ziel'!Q44</f>
        <v>2.5</v>
      </c>
      <c r="D28" s="2"/>
      <c r="E28" s="2"/>
      <c r="F28" s="15"/>
      <c r="G28" s="15"/>
      <c r="H28" s="15"/>
      <c r="I28" s="5"/>
    </row>
    <row r="29" spans="1:10" ht="15" customHeight="1">
      <c r="A29" s="11"/>
      <c r="B29" s="2"/>
      <c r="C29" s="2"/>
      <c r="D29" s="2"/>
      <c r="E29" s="443" t="s">
        <v>104</v>
      </c>
      <c r="F29" s="443"/>
      <c r="H29" s="2"/>
      <c r="I29" s="5"/>
    </row>
    <row r="30" spans="1:10" ht="15" customHeight="1">
      <c r="A30" s="11" t="s">
        <v>11</v>
      </c>
      <c r="B30" s="2"/>
      <c r="C30" s="23">
        <f>'GeStruk-Ziel'!Q58</f>
        <v>2.5</v>
      </c>
      <c r="D30" s="2"/>
      <c r="E30" s="443"/>
      <c r="F30" s="443"/>
      <c r="G30" s="37" t="str">
        <f>VLOOKUP(G27,{0,"5";2.61,"4";3.51,"3";4.41,"2";5.31,"1"},2,1)</f>
        <v>4</v>
      </c>
      <c r="H30" s="2"/>
      <c r="I30" s="5"/>
      <c r="J30" s="45">
        <f>G30+0</f>
        <v>4</v>
      </c>
    </row>
    <row r="31" spans="1:10" ht="15" customHeight="1">
      <c r="A31" s="28"/>
      <c r="B31" s="19"/>
      <c r="C31" s="19"/>
      <c r="D31" s="19"/>
      <c r="E31" s="3"/>
      <c r="F31" s="3"/>
      <c r="G31" s="3"/>
      <c r="H31" s="3"/>
      <c r="I31" s="7"/>
    </row>
  </sheetData>
  <sheetProtection algorithmName="SHA-512" hashValue="RmDvDCvksrANjUiI1G8q8Y2mRdQcPlgRFeWRkLkWMCEgBAYFM38z+YqP96ekx9EFkia0OlpAYLKzE3vnex7Z6Q==" saltValue="+vn9k44M93i/u+0PbA6qRw==" spinCount="100000" sheet="1" objects="1" scenarios="1"/>
  <customSheetViews>
    <customSheetView guid="{B75063BA-4717-43F8-8B16-CDCBE07E925A}" showPageBreaks="1">
      <selection activeCell="L36" sqref="L36"/>
    </customSheetView>
  </customSheetViews>
  <mergeCells count="20">
    <mergeCell ref="M3:N3"/>
    <mergeCell ref="A19:B19"/>
    <mergeCell ref="C19:D19"/>
    <mergeCell ref="E23:F24"/>
    <mergeCell ref="A1:AA1"/>
    <mergeCell ref="K3:L3"/>
    <mergeCell ref="E29:F30"/>
    <mergeCell ref="E26:F27"/>
    <mergeCell ref="E18:G18"/>
    <mergeCell ref="K6:L6"/>
    <mergeCell ref="A4:B4"/>
    <mergeCell ref="C4:D4"/>
    <mergeCell ref="E4:G4"/>
    <mergeCell ref="K4:L4"/>
    <mergeCell ref="K5:L5"/>
    <mergeCell ref="E11:F12"/>
    <mergeCell ref="K7:L7"/>
    <mergeCell ref="K8:L8"/>
    <mergeCell ref="E9:F10"/>
    <mergeCell ref="E14:F15"/>
  </mergeCells>
  <dataValidations count="1">
    <dataValidation type="list" allowBlank="1" showInputMessage="1" showErrorMessage="1" sqref="J4" xr:uid="{A6228FD5-9861-4CF3-AE0F-4F3F4F57B692}"/>
  </dataValidations>
  <pageMargins left="0.70866141732283472" right="0.70866141732283472" top="0.78740157480314965" bottom="0.78740157480314965" header="0.31496062992125984" footer="0.31496062992125984"/>
  <pageSetup paperSize="9" scale="79" orientation="landscape" r:id="rId1"/>
  <headerFooter>
    <oddHeader>&amp;L&amp;D&amp;C&amp;A&amp;R&amp;P/&amp;N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41A1C-B430-43C8-9076-B23CE5E02804}">
  <sheetPr>
    <pageSetUpPr fitToPage="1"/>
  </sheetPr>
  <dimension ref="A1:AA48"/>
  <sheetViews>
    <sheetView topLeftCell="B1" zoomScaleNormal="100" workbookViewId="0">
      <selection activeCell="R16" sqref="R16:V18"/>
    </sheetView>
  </sheetViews>
  <sheetFormatPr baseColWidth="10" defaultRowHeight="14.5"/>
  <cols>
    <col min="1" max="1" width="14.54296875" style="31" customWidth="1"/>
    <col min="2" max="2" width="30.453125" customWidth="1"/>
    <col min="3" max="3" width="10.453125" customWidth="1"/>
    <col min="13" max="13" width="12.453125" customWidth="1"/>
    <col min="22" max="22" width="17.6328125" customWidth="1"/>
  </cols>
  <sheetData>
    <row r="1" spans="1:27" ht="15.5">
      <c r="A1" s="642" t="str">
        <f>IF(Stammdaten!C5&lt;&gt;"", Stammdaten!C5,"")</f>
        <v>Revitalisierung am Gewässer XY</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4"/>
    </row>
    <row r="2" spans="1:27" ht="21.5" thickBot="1">
      <c r="A2" s="18" t="s">
        <v>90</v>
      </c>
      <c r="B2" s="2"/>
      <c r="C2" s="237"/>
      <c r="D2" s="522"/>
      <c r="E2" s="522"/>
      <c r="F2" s="522"/>
      <c r="G2" s="238"/>
      <c r="H2" s="5"/>
      <c r="I2" s="31"/>
      <c r="J2" s="8"/>
      <c r="K2" s="8"/>
      <c r="L2" s="8"/>
    </row>
    <row r="3" spans="1:27" ht="16.399999999999999" customHeight="1">
      <c r="A3" s="448" t="s">
        <v>29</v>
      </c>
      <c r="B3" s="449"/>
      <c r="C3" s="237"/>
      <c r="D3" s="2"/>
      <c r="E3" s="2"/>
      <c r="F3" s="2"/>
      <c r="G3" s="2"/>
      <c r="H3" s="2"/>
      <c r="I3" s="31"/>
      <c r="J3" s="453" t="s">
        <v>0</v>
      </c>
      <c r="K3" s="454"/>
      <c r="L3" s="455" t="s">
        <v>387</v>
      </c>
      <c r="M3" s="456"/>
    </row>
    <row r="4" spans="1:27" ht="16.399999999999999" customHeight="1">
      <c r="A4" s="90"/>
      <c r="B4" s="91"/>
      <c r="C4" s="237"/>
      <c r="D4" s="2"/>
      <c r="E4" s="2"/>
      <c r="F4" s="2"/>
      <c r="G4" s="2"/>
      <c r="H4" s="2"/>
      <c r="I4" s="31"/>
      <c r="J4" s="465" t="s">
        <v>2</v>
      </c>
      <c r="K4" s="466"/>
      <c r="L4" s="376">
        <v>1</v>
      </c>
      <c r="M4" s="270" t="s">
        <v>61</v>
      </c>
    </row>
    <row r="5" spans="1:27" ht="15" customHeight="1">
      <c r="A5" s="185"/>
      <c r="B5" s="2"/>
      <c r="C5" s="2"/>
      <c r="D5" s="16"/>
      <c r="E5" s="2"/>
      <c r="F5" s="10"/>
      <c r="G5" s="10"/>
      <c r="H5" s="2"/>
      <c r="I5" s="31"/>
      <c r="J5" s="465" t="s">
        <v>3</v>
      </c>
      <c r="K5" s="466"/>
      <c r="L5" s="240">
        <v>2</v>
      </c>
      <c r="M5" s="241" t="s">
        <v>63</v>
      </c>
    </row>
    <row r="6" spans="1:27" ht="15" customHeight="1">
      <c r="A6" s="11" t="s">
        <v>91</v>
      </c>
      <c r="B6" s="2"/>
      <c r="C6" s="259" t="str">
        <f>VLOOKUP('GeStruk-Ist'!AA35,{0,"5";2.61,"4";3.51,"3";4.41,"2";5.31,"1"},2,1)</f>
        <v>4</v>
      </c>
      <c r="D6" s="2"/>
      <c r="E6" s="450" t="s">
        <v>96</v>
      </c>
      <c r="F6" s="450"/>
      <c r="G6" s="10"/>
      <c r="H6" s="2"/>
      <c r="I6" s="31"/>
      <c r="J6" s="465" t="s">
        <v>5</v>
      </c>
      <c r="K6" s="466"/>
      <c r="L6" s="242">
        <v>3</v>
      </c>
      <c r="M6" s="243" t="s">
        <v>65</v>
      </c>
    </row>
    <row r="7" spans="1:27" ht="15" customHeight="1">
      <c r="A7" s="11"/>
      <c r="B7" s="2"/>
      <c r="C7" s="2"/>
      <c r="D7" s="2"/>
      <c r="E7" s="450"/>
      <c r="F7" s="450"/>
      <c r="G7" s="264">
        <f>ROUND(AVERAGE(C6:C18),0)</f>
        <v>3</v>
      </c>
      <c r="H7" s="2"/>
      <c r="I7" s="31"/>
      <c r="J7" s="465" t="s">
        <v>7</v>
      </c>
      <c r="K7" s="466"/>
      <c r="L7" s="377">
        <v>4</v>
      </c>
      <c r="M7" s="274" t="s">
        <v>67</v>
      </c>
    </row>
    <row r="8" spans="1:27" ht="15" customHeight="1" thickBot="1">
      <c r="A8" s="650" t="s">
        <v>92</v>
      </c>
      <c r="B8" s="422"/>
      <c r="C8" s="56">
        <v>3</v>
      </c>
      <c r="D8" s="2"/>
      <c r="E8" s="239"/>
      <c r="F8" s="2"/>
      <c r="G8" s="2"/>
      <c r="H8" s="2"/>
      <c r="I8" s="31"/>
      <c r="J8" s="467" t="s">
        <v>9</v>
      </c>
      <c r="K8" s="468"/>
      <c r="L8" s="262">
        <v>5</v>
      </c>
      <c r="M8" s="263" t="s">
        <v>69</v>
      </c>
    </row>
    <row r="9" spans="1:27" ht="15" customHeight="1">
      <c r="A9" s="290"/>
      <c r="B9" s="9"/>
      <c r="C9" s="2"/>
      <c r="D9" s="2"/>
      <c r="E9" s="239"/>
      <c r="F9" s="10"/>
      <c r="G9" s="10"/>
      <c r="H9" s="2"/>
      <c r="I9" s="31"/>
      <c r="J9" s="265"/>
      <c r="K9" s="265"/>
      <c r="L9" s="266"/>
    </row>
    <row r="10" spans="1:27" ht="15" customHeight="1" thickBot="1">
      <c r="A10" s="650" t="s">
        <v>93</v>
      </c>
      <c r="B10" s="422"/>
      <c r="C10" s="56">
        <v>3</v>
      </c>
      <c r="D10" s="2"/>
      <c r="E10" s="239"/>
      <c r="F10" s="2"/>
      <c r="G10" s="2"/>
      <c r="H10" s="13"/>
      <c r="I10" s="31"/>
    </row>
    <row r="11" spans="1:27" ht="15" customHeight="1">
      <c r="A11" s="290"/>
      <c r="B11" s="9"/>
      <c r="C11" s="2"/>
      <c r="D11" s="2"/>
      <c r="E11" s="239"/>
      <c r="F11" s="13"/>
      <c r="G11" s="2"/>
      <c r="H11" s="13"/>
      <c r="I11" s="31"/>
      <c r="J11" s="438" t="s">
        <v>118</v>
      </c>
      <c r="K11" s="651"/>
      <c r="L11" s="651"/>
      <c r="M11" s="651"/>
      <c r="N11" s="651"/>
      <c r="O11" s="657" t="s">
        <v>1</v>
      </c>
      <c r="P11" s="456"/>
      <c r="R11" s="672" t="s">
        <v>128</v>
      </c>
      <c r="S11" s="673"/>
      <c r="T11" s="673"/>
      <c r="U11" s="673"/>
      <c r="V11" s="674"/>
      <c r="W11" s="660" t="s">
        <v>1</v>
      </c>
      <c r="X11" s="452"/>
    </row>
    <row r="12" spans="1:27" ht="15" customHeight="1">
      <c r="A12" s="11" t="s">
        <v>320</v>
      </c>
      <c r="B12" s="2"/>
      <c r="C12" s="2">
        <f>(BVG!H27+BVA!H9)/2</f>
        <v>3</v>
      </c>
      <c r="D12" s="2"/>
      <c r="E12" s="239"/>
      <c r="F12" s="13"/>
      <c r="G12" s="2"/>
      <c r="H12" s="2"/>
      <c r="I12" s="31"/>
      <c r="J12" s="652" t="s">
        <v>119</v>
      </c>
      <c r="K12" s="653"/>
      <c r="L12" s="653"/>
      <c r="M12" s="653"/>
      <c r="N12" s="653"/>
      <c r="O12" s="549">
        <v>1</v>
      </c>
      <c r="P12" s="458" t="s">
        <v>61</v>
      </c>
      <c r="R12" s="559" t="s">
        <v>129</v>
      </c>
      <c r="S12" s="594"/>
      <c r="T12" s="594"/>
      <c r="U12" s="594"/>
      <c r="V12" s="608"/>
      <c r="W12" s="661">
        <v>1</v>
      </c>
      <c r="X12" s="664" t="s">
        <v>61</v>
      </c>
    </row>
    <row r="13" spans="1:27" ht="15" customHeight="1">
      <c r="A13" s="11"/>
      <c r="B13" s="2"/>
      <c r="C13" s="2"/>
      <c r="D13" s="2"/>
      <c r="E13" s="239"/>
      <c r="F13" s="237"/>
      <c r="G13" s="237"/>
      <c r="H13" s="20"/>
      <c r="I13" s="31"/>
      <c r="J13" s="652"/>
      <c r="K13" s="653"/>
      <c r="L13" s="653"/>
      <c r="M13" s="653"/>
      <c r="N13" s="653"/>
      <c r="O13" s="549"/>
      <c r="P13" s="458"/>
      <c r="R13" s="585"/>
      <c r="S13" s="586"/>
      <c r="T13" s="586"/>
      <c r="U13" s="586"/>
      <c r="V13" s="609"/>
      <c r="W13" s="662"/>
      <c r="X13" s="665"/>
    </row>
    <row r="14" spans="1:27" ht="15" customHeight="1">
      <c r="A14" s="11" t="s">
        <v>142</v>
      </c>
      <c r="B14" s="2"/>
      <c r="C14" s="56">
        <v>3</v>
      </c>
      <c r="D14" s="2"/>
      <c r="E14" s="267"/>
      <c r="F14" s="237"/>
      <c r="G14" s="237"/>
      <c r="H14" s="2"/>
      <c r="I14" s="31"/>
      <c r="J14" s="440" t="s">
        <v>120</v>
      </c>
      <c r="K14" s="473"/>
      <c r="L14" s="473"/>
      <c r="M14" s="473"/>
      <c r="N14" s="473"/>
      <c r="O14" s="658">
        <v>2</v>
      </c>
      <c r="P14" s="659" t="s">
        <v>63</v>
      </c>
      <c r="R14" s="585"/>
      <c r="S14" s="586"/>
      <c r="T14" s="586"/>
      <c r="U14" s="586"/>
      <c r="V14" s="609"/>
      <c r="W14" s="662"/>
      <c r="X14" s="665"/>
    </row>
    <row r="15" spans="1:27" ht="15" customHeight="1">
      <c r="A15" s="11"/>
      <c r="B15" s="2"/>
      <c r="C15" s="2"/>
      <c r="D15" s="2"/>
      <c r="E15" s="267"/>
      <c r="F15" s="237"/>
      <c r="G15" s="237"/>
      <c r="H15" s="5"/>
      <c r="J15" s="440"/>
      <c r="K15" s="473"/>
      <c r="L15" s="473"/>
      <c r="M15" s="473"/>
      <c r="N15" s="473"/>
      <c r="O15" s="658"/>
      <c r="P15" s="659"/>
      <c r="R15" s="600"/>
      <c r="S15" s="601"/>
      <c r="T15" s="601"/>
      <c r="U15" s="601"/>
      <c r="V15" s="667"/>
      <c r="W15" s="663"/>
      <c r="X15" s="666"/>
    </row>
    <row r="16" spans="1:27" ht="15" customHeight="1">
      <c r="A16" s="11" t="s">
        <v>94</v>
      </c>
      <c r="B16" s="2"/>
      <c r="C16" s="56">
        <v>3</v>
      </c>
      <c r="D16" s="2"/>
      <c r="E16" s="267"/>
      <c r="F16" s="237"/>
      <c r="G16" s="237"/>
      <c r="H16" s="5"/>
      <c r="J16" s="440"/>
      <c r="K16" s="473"/>
      <c r="L16" s="473"/>
      <c r="M16" s="473"/>
      <c r="N16" s="473"/>
      <c r="O16" s="658"/>
      <c r="P16" s="659"/>
      <c r="R16" s="440" t="s">
        <v>444</v>
      </c>
      <c r="S16" s="473"/>
      <c r="T16" s="473"/>
      <c r="U16" s="473"/>
      <c r="V16" s="473"/>
      <c r="W16" s="658">
        <v>2</v>
      </c>
      <c r="X16" s="659" t="s">
        <v>63</v>
      </c>
    </row>
    <row r="17" spans="1:25" ht="15" customHeight="1">
      <c r="A17" s="291"/>
      <c r="B17" s="2"/>
      <c r="C17" s="2"/>
      <c r="D17" s="2"/>
      <c r="E17" s="267"/>
      <c r="F17" s="237"/>
      <c r="G17" s="237"/>
      <c r="H17" s="5"/>
      <c r="J17" s="440"/>
      <c r="K17" s="473"/>
      <c r="L17" s="473"/>
      <c r="M17" s="473"/>
      <c r="N17" s="473"/>
      <c r="O17" s="658"/>
      <c r="P17" s="659"/>
      <c r="R17" s="440"/>
      <c r="S17" s="473"/>
      <c r="T17" s="473"/>
      <c r="U17" s="473"/>
      <c r="V17" s="473"/>
      <c r="W17" s="658"/>
      <c r="X17" s="659"/>
    </row>
    <row r="18" spans="1:25" ht="15" customHeight="1">
      <c r="A18" s="11" t="s">
        <v>95</v>
      </c>
      <c r="B18" s="2"/>
      <c r="C18" s="56">
        <v>5</v>
      </c>
      <c r="D18" s="2"/>
      <c r="E18" s="267"/>
      <c r="F18" s="237"/>
      <c r="G18" s="237"/>
      <c r="H18" s="5"/>
      <c r="J18" s="440"/>
      <c r="K18" s="473"/>
      <c r="L18" s="473"/>
      <c r="M18" s="473"/>
      <c r="N18" s="473"/>
      <c r="O18" s="658"/>
      <c r="P18" s="659"/>
      <c r="R18" s="440"/>
      <c r="S18" s="473"/>
      <c r="T18" s="473"/>
      <c r="U18" s="473"/>
      <c r="V18" s="473"/>
      <c r="W18" s="658"/>
      <c r="X18" s="659"/>
    </row>
    <row r="19" spans="1:25" ht="15" customHeight="1">
      <c r="A19" s="247"/>
      <c r="B19" s="2"/>
      <c r="D19" s="2"/>
      <c r="E19" s="267"/>
      <c r="F19" s="237"/>
      <c r="G19" s="237"/>
      <c r="H19" s="5"/>
      <c r="J19" s="440" t="s">
        <v>121</v>
      </c>
      <c r="K19" s="491"/>
      <c r="L19" s="491"/>
      <c r="M19" s="491"/>
      <c r="N19" s="491"/>
      <c r="O19" s="551">
        <v>3</v>
      </c>
      <c r="P19" s="460" t="s">
        <v>65</v>
      </c>
      <c r="R19" s="559" t="s">
        <v>130</v>
      </c>
      <c r="S19" s="594"/>
      <c r="T19" s="594"/>
      <c r="U19" s="594"/>
      <c r="V19" s="608"/>
      <c r="W19" s="675">
        <v>3</v>
      </c>
      <c r="X19" s="598" t="s">
        <v>65</v>
      </c>
    </row>
    <row r="20" spans="1:25" ht="14.9" customHeight="1">
      <c r="A20" s="248"/>
      <c r="C20" s="244"/>
      <c r="D20" s="2"/>
      <c r="E20" s="2"/>
      <c r="F20" s="237"/>
      <c r="G20" s="237"/>
      <c r="H20" s="5"/>
      <c r="J20" s="493"/>
      <c r="K20" s="491"/>
      <c r="L20" s="491"/>
      <c r="M20" s="491"/>
      <c r="N20" s="491"/>
      <c r="O20" s="551"/>
      <c r="P20" s="460"/>
      <c r="R20" s="585"/>
      <c r="S20" s="586"/>
      <c r="T20" s="586"/>
      <c r="U20" s="586"/>
      <c r="V20" s="609"/>
      <c r="W20" s="676"/>
      <c r="X20" s="599"/>
    </row>
    <row r="21" spans="1:25" ht="14.9" customHeight="1">
      <c r="A21" s="11"/>
      <c r="B21" s="648" t="s">
        <v>343</v>
      </c>
      <c r="C21" s="648"/>
      <c r="D21" s="648"/>
      <c r="E21" s="2"/>
      <c r="F21" s="2"/>
      <c r="G21" s="2"/>
      <c r="H21" s="5"/>
      <c r="J21" s="493"/>
      <c r="K21" s="491"/>
      <c r="L21" s="491"/>
      <c r="M21" s="491"/>
      <c r="N21" s="491"/>
      <c r="O21" s="551"/>
      <c r="P21" s="460"/>
      <c r="R21" s="600"/>
      <c r="S21" s="601"/>
      <c r="T21" s="601"/>
      <c r="U21" s="601"/>
      <c r="V21" s="667"/>
      <c r="W21" s="677"/>
      <c r="X21" s="641"/>
    </row>
    <row r="22" spans="1:25">
      <c r="A22" s="14"/>
      <c r="B22" s="3"/>
      <c r="C22" s="3"/>
      <c r="D22" s="3"/>
      <c r="E22" s="3"/>
      <c r="F22" s="3"/>
      <c r="G22" s="3"/>
      <c r="H22" s="7"/>
      <c r="J22" s="493"/>
      <c r="K22" s="491"/>
      <c r="L22" s="491"/>
      <c r="M22" s="491"/>
      <c r="N22" s="491"/>
      <c r="O22" s="551"/>
      <c r="P22" s="460"/>
      <c r="R22" s="634" t="s">
        <v>422</v>
      </c>
      <c r="S22" s="635"/>
      <c r="T22" s="635"/>
      <c r="U22" s="635"/>
      <c r="V22" s="678"/>
      <c r="W22" s="681">
        <v>4</v>
      </c>
      <c r="X22" s="605" t="s">
        <v>67</v>
      </c>
    </row>
    <row r="23" spans="1:25" ht="21" customHeight="1">
      <c r="A23" s="256" t="s">
        <v>90</v>
      </c>
      <c r="B23" s="4"/>
      <c r="C23" s="257"/>
      <c r="D23" s="649"/>
      <c r="E23" s="649"/>
      <c r="F23" s="649"/>
      <c r="G23" s="258"/>
      <c r="H23" s="12"/>
      <c r="J23" s="440" t="s">
        <v>122</v>
      </c>
      <c r="K23" s="473"/>
      <c r="L23" s="473"/>
      <c r="M23" s="473"/>
      <c r="N23" s="473"/>
      <c r="O23" s="656">
        <v>4</v>
      </c>
      <c r="P23" s="487" t="s">
        <v>67</v>
      </c>
      <c r="R23" s="530"/>
      <c r="S23" s="531"/>
      <c r="T23" s="531"/>
      <c r="U23" s="531"/>
      <c r="V23" s="679"/>
      <c r="W23" s="682"/>
      <c r="X23" s="607"/>
    </row>
    <row r="24" spans="1:25" ht="18" customHeight="1">
      <c r="A24" s="448" t="s">
        <v>51</v>
      </c>
      <c r="B24" s="449"/>
      <c r="C24" s="237"/>
      <c r="D24" s="2"/>
      <c r="E24" s="2"/>
      <c r="F24" s="2"/>
      <c r="G24" s="2"/>
      <c r="H24" s="5"/>
      <c r="J24" s="440"/>
      <c r="K24" s="473"/>
      <c r="L24" s="473"/>
      <c r="M24" s="473"/>
      <c r="N24" s="473"/>
      <c r="O24" s="656"/>
      <c r="P24" s="487"/>
      <c r="R24" s="637"/>
      <c r="S24" s="638"/>
      <c r="T24" s="638"/>
      <c r="U24" s="638"/>
      <c r="V24" s="680"/>
      <c r="W24" s="683"/>
      <c r="X24" s="606"/>
    </row>
    <row r="25" spans="1:25" ht="14.9" customHeight="1">
      <c r="A25" s="90"/>
      <c r="B25" s="91"/>
      <c r="C25" s="237"/>
      <c r="D25" s="2"/>
      <c r="E25" s="2"/>
      <c r="F25" s="2"/>
      <c r="G25" s="2"/>
      <c r="H25" s="5"/>
      <c r="J25" s="440"/>
      <c r="K25" s="473"/>
      <c r="L25" s="473"/>
      <c r="M25" s="473"/>
      <c r="N25" s="473"/>
      <c r="O25" s="656"/>
      <c r="P25" s="487"/>
      <c r="R25" s="559" t="s">
        <v>131</v>
      </c>
      <c r="S25" s="594"/>
      <c r="T25" s="594"/>
      <c r="U25" s="594"/>
      <c r="V25" s="608"/>
      <c r="W25" s="611">
        <v>5</v>
      </c>
      <c r="X25" s="614" t="s">
        <v>69</v>
      </c>
    </row>
    <row r="26" spans="1:25">
      <c r="A26" s="185"/>
      <c r="B26" s="2"/>
      <c r="C26" s="2"/>
      <c r="D26" s="16"/>
      <c r="E26" s="2"/>
      <c r="F26" s="10"/>
      <c r="G26" s="10"/>
      <c r="H26" s="5"/>
      <c r="J26" s="440"/>
      <c r="K26" s="473"/>
      <c r="L26" s="473"/>
      <c r="M26" s="473"/>
      <c r="N26" s="473"/>
      <c r="O26" s="656"/>
      <c r="P26" s="487"/>
      <c r="R26" s="585"/>
      <c r="S26" s="586"/>
      <c r="T26" s="586"/>
      <c r="U26" s="586"/>
      <c r="V26" s="609"/>
      <c r="W26" s="612"/>
      <c r="X26" s="615"/>
    </row>
    <row r="27" spans="1:25">
      <c r="A27" s="11" t="s">
        <v>91</v>
      </c>
      <c r="B27" s="2"/>
      <c r="C27" s="259" t="str">
        <f>VLOOKUP('GeStruk-Ziel'!Q34,{0,"5";2.61,"4";3.51,"3";4.41,"2";5.31,"1"},2,1)</f>
        <v>5</v>
      </c>
      <c r="D27" s="2"/>
      <c r="E27" s="450" t="s">
        <v>96</v>
      </c>
      <c r="F27" s="450"/>
      <c r="G27" s="10"/>
      <c r="H27" s="5"/>
      <c r="J27" s="440" t="s">
        <v>123</v>
      </c>
      <c r="K27" s="491"/>
      <c r="L27" s="491"/>
      <c r="M27" s="491"/>
      <c r="N27" s="491"/>
      <c r="O27" s="552">
        <v>5</v>
      </c>
      <c r="P27" s="463" t="s">
        <v>69</v>
      </c>
      <c r="R27" s="585"/>
      <c r="S27" s="586"/>
      <c r="T27" s="586"/>
      <c r="U27" s="586"/>
      <c r="V27" s="609"/>
      <c r="W27" s="612"/>
      <c r="X27" s="615"/>
    </row>
    <row r="28" spans="1:25">
      <c r="A28" s="11"/>
      <c r="B28" s="2"/>
      <c r="C28" s="2"/>
      <c r="D28" s="2"/>
      <c r="E28" s="450"/>
      <c r="F28" s="450"/>
      <c r="G28" s="264">
        <f>ROUND(AVERAGE(C27:C39),0)</f>
        <v>4</v>
      </c>
      <c r="H28" s="5"/>
      <c r="J28" s="493"/>
      <c r="K28" s="491"/>
      <c r="L28" s="491"/>
      <c r="M28" s="491"/>
      <c r="N28" s="491"/>
      <c r="O28" s="552"/>
      <c r="P28" s="463"/>
      <c r="R28" s="585"/>
      <c r="S28" s="586"/>
      <c r="T28" s="586"/>
      <c r="U28" s="586"/>
      <c r="V28" s="609"/>
      <c r="W28" s="612"/>
      <c r="X28" s="615"/>
    </row>
    <row r="29" spans="1:25" ht="14.9" customHeight="1" thickBot="1">
      <c r="A29" s="650" t="s">
        <v>92</v>
      </c>
      <c r="B29" s="422"/>
      <c r="C29" s="56">
        <v>5</v>
      </c>
      <c r="D29" s="2"/>
      <c r="E29" s="239"/>
      <c r="F29" s="2"/>
      <c r="G29" s="2"/>
      <c r="H29" s="5"/>
      <c r="J29" s="493"/>
      <c r="K29" s="491"/>
      <c r="L29" s="491"/>
      <c r="M29" s="491"/>
      <c r="N29" s="491"/>
      <c r="O29" s="552"/>
      <c r="P29" s="463"/>
      <c r="R29" s="588"/>
      <c r="S29" s="589"/>
      <c r="T29" s="589"/>
      <c r="U29" s="589"/>
      <c r="V29" s="610"/>
      <c r="W29" s="613"/>
      <c r="X29" s="616"/>
    </row>
    <row r="30" spans="1:25" ht="15" thickBot="1">
      <c r="A30" s="290"/>
      <c r="B30" s="9"/>
      <c r="C30" s="2"/>
      <c r="D30" s="2"/>
      <c r="E30" s="239"/>
      <c r="F30" s="10"/>
      <c r="G30" s="10"/>
      <c r="H30" s="5"/>
      <c r="J30" s="654"/>
      <c r="K30" s="655"/>
      <c r="L30" s="655"/>
      <c r="M30" s="655"/>
      <c r="N30" s="655"/>
      <c r="O30" s="553"/>
      <c r="P30" s="480"/>
    </row>
    <row r="31" spans="1:25" ht="14.9" customHeight="1" thickBot="1">
      <c r="A31" s="650" t="s">
        <v>93</v>
      </c>
      <c r="B31" s="422"/>
      <c r="C31" s="56">
        <v>3</v>
      </c>
      <c r="D31" s="2"/>
      <c r="E31" s="239"/>
      <c r="F31" s="2"/>
      <c r="G31" s="2"/>
      <c r="H31" s="268"/>
    </row>
    <row r="32" spans="1:25" ht="14.9" customHeight="1" thickBot="1">
      <c r="A32" s="290"/>
      <c r="B32" s="9"/>
      <c r="C32" s="2"/>
      <c r="D32" s="2"/>
      <c r="E32" s="239"/>
      <c r="F32" s="13"/>
      <c r="G32" s="2"/>
      <c r="H32" s="268"/>
      <c r="R32" s="618" t="s">
        <v>219</v>
      </c>
      <c r="S32" s="619"/>
      <c r="T32" s="619"/>
      <c r="U32" s="619"/>
      <c r="V32" s="619"/>
      <c r="W32" s="620"/>
      <c r="X32" s="624" t="s">
        <v>1</v>
      </c>
      <c r="Y32" s="625"/>
    </row>
    <row r="33" spans="1:25" ht="14.9" customHeight="1">
      <c r="A33" s="11" t="s">
        <v>320</v>
      </c>
      <c r="B33" s="2"/>
      <c r="C33" s="2">
        <f>(BVG!H54+BVA!H27)/2</f>
        <v>4</v>
      </c>
      <c r="D33" s="2"/>
      <c r="E33" s="239"/>
      <c r="F33" s="13"/>
      <c r="G33" s="2"/>
      <c r="H33" s="5"/>
      <c r="J33" s="438" t="s">
        <v>124</v>
      </c>
      <c r="K33" s="651"/>
      <c r="L33" s="651"/>
      <c r="M33" s="651"/>
      <c r="N33" s="651"/>
      <c r="O33" s="657" t="s">
        <v>1</v>
      </c>
      <c r="P33" s="456"/>
      <c r="R33" s="621"/>
      <c r="S33" s="622"/>
      <c r="T33" s="622"/>
      <c r="U33" s="622"/>
      <c r="V33" s="622"/>
      <c r="W33" s="623"/>
      <c r="X33" s="626"/>
      <c r="Y33" s="627"/>
    </row>
    <row r="34" spans="1:25" ht="14.9" customHeight="1">
      <c r="A34" s="11"/>
      <c r="B34" s="2"/>
      <c r="C34" s="2"/>
      <c r="D34" s="2"/>
      <c r="E34" s="239"/>
      <c r="F34" s="237"/>
      <c r="G34" s="237"/>
      <c r="H34" s="271"/>
      <c r="J34" s="440" t="s">
        <v>125</v>
      </c>
      <c r="K34" s="473"/>
      <c r="L34" s="473"/>
      <c r="M34" s="473"/>
      <c r="N34" s="473"/>
      <c r="O34" s="549">
        <v>1</v>
      </c>
      <c r="P34" s="458" t="s">
        <v>61</v>
      </c>
      <c r="R34" s="645" t="s">
        <v>132</v>
      </c>
      <c r="S34" s="646"/>
      <c r="T34" s="646"/>
      <c r="U34" s="646"/>
      <c r="V34" s="646"/>
      <c r="W34" s="647"/>
      <c r="X34" s="269">
        <v>1</v>
      </c>
      <c r="Y34" s="270" t="s">
        <v>61</v>
      </c>
    </row>
    <row r="35" spans="1:25" ht="14.9" customHeight="1">
      <c r="A35" s="11" t="s">
        <v>142</v>
      </c>
      <c r="B35" s="2"/>
      <c r="C35" s="56">
        <v>4</v>
      </c>
      <c r="D35" s="2"/>
      <c r="E35" s="267"/>
      <c r="F35" s="237"/>
      <c r="G35" s="237"/>
      <c r="H35" s="5"/>
      <c r="J35" s="440"/>
      <c r="K35" s="473"/>
      <c r="L35" s="473"/>
      <c r="M35" s="473"/>
      <c r="N35" s="473"/>
      <c r="O35" s="549"/>
      <c r="P35" s="458"/>
      <c r="R35" s="645" t="s">
        <v>133</v>
      </c>
      <c r="S35" s="646"/>
      <c r="T35" s="646"/>
      <c r="U35" s="646"/>
      <c r="V35" s="646"/>
      <c r="W35" s="647"/>
      <c r="X35" s="272">
        <v>3</v>
      </c>
      <c r="Y35" s="243" t="s">
        <v>65</v>
      </c>
    </row>
    <row r="36" spans="1:25">
      <c r="A36" s="11"/>
      <c r="B36" s="2"/>
      <c r="C36" s="2"/>
      <c r="D36" s="2"/>
      <c r="E36" s="267"/>
      <c r="F36" s="237"/>
      <c r="G36" s="237"/>
      <c r="H36" s="5"/>
      <c r="J36" s="440"/>
      <c r="K36" s="473"/>
      <c r="L36" s="473"/>
      <c r="M36" s="473"/>
      <c r="N36" s="473"/>
      <c r="O36" s="549"/>
      <c r="P36" s="458"/>
      <c r="R36" s="645" t="s">
        <v>134</v>
      </c>
      <c r="S36" s="646"/>
      <c r="T36" s="646"/>
      <c r="U36" s="646"/>
      <c r="V36" s="646"/>
      <c r="W36" s="647"/>
      <c r="X36" s="273">
        <v>4</v>
      </c>
      <c r="Y36" s="274" t="s">
        <v>67</v>
      </c>
    </row>
    <row r="37" spans="1:25" ht="17.149999999999999" customHeight="1" thickBot="1">
      <c r="A37" s="11" t="s">
        <v>94</v>
      </c>
      <c r="B37" s="2"/>
      <c r="C37" s="56">
        <v>4</v>
      </c>
      <c r="D37" s="2"/>
      <c r="E37" s="267"/>
      <c r="F37" s="237"/>
      <c r="G37" s="237"/>
      <c r="H37" s="5"/>
      <c r="J37" s="440"/>
      <c r="K37" s="473"/>
      <c r="L37" s="473"/>
      <c r="M37" s="473"/>
      <c r="N37" s="473"/>
      <c r="O37" s="549"/>
      <c r="P37" s="458"/>
      <c r="R37" s="628" t="s">
        <v>423</v>
      </c>
      <c r="S37" s="629"/>
      <c r="T37" s="629"/>
      <c r="U37" s="629"/>
      <c r="V37" s="629"/>
      <c r="W37" s="630"/>
      <c r="X37" s="275">
        <v>5</v>
      </c>
      <c r="Y37" s="263" t="s">
        <v>69</v>
      </c>
    </row>
    <row r="38" spans="1:25" ht="14.9" customHeight="1">
      <c r="A38" s="291"/>
      <c r="B38" s="2"/>
      <c r="C38" s="2"/>
      <c r="D38" s="2"/>
      <c r="E38" s="267"/>
      <c r="F38" s="237"/>
      <c r="G38" s="237"/>
      <c r="H38" s="5"/>
      <c r="J38" s="440" t="s">
        <v>126</v>
      </c>
      <c r="K38" s="491"/>
      <c r="L38" s="491"/>
      <c r="M38" s="491"/>
      <c r="N38" s="491"/>
      <c r="O38" s="551">
        <v>3</v>
      </c>
      <c r="P38" s="460" t="s">
        <v>65</v>
      </c>
    </row>
    <row r="39" spans="1:25" ht="15" customHeight="1" thickBot="1">
      <c r="A39" s="11" t="s">
        <v>95</v>
      </c>
      <c r="B39" s="2"/>
      <c r="C39" s="56">
        <v>5</v>
      </c>
      <c r="D39" s="2"/>
      <c r="E39" s="267"/>
      <c r="F39" s="237"/>
      <c r="G39" s="237"/>
      <c r="H39" s="5"/>
      <c r="J39" s="493"/>
      <c r="K39" s="491"/>
      <c r="L39" s="491"/>
      <c r="M39" s="491"/>
      <c r="N39" s="491"/>
      <c r="O39" s="551"/>
      <c r="P39" s="460"/>
    </row>
    <row r="40" spans="1:25" ht="14.4" customHeight="1" thickBot="1">
      <c r="A40" s="247"/>
      <c r="B40" s="2"/>
      <c r="D40" s="2"/>
      <c r="E40" s="267"/>
      <c r="F40" s="237"/>
      <c r="G40" s="237"/>
      <c r="H40" s="5"/>
      <c r="J40" s="493"/>
      <c r="K40" s="491"/>
      <c r="L40" s="491"/>
      <c r="M40" s="491"/>
      <c r="N40" s="491"/>
      <c r="O40" s="551"/>
      <c r="P40" s="460"/>
      <c r="R40" s="481" t="s">
        <v>135</v>
      </c>
      <c r="S40" s="482"/>
      <c r="T40" s="482"/>
      <c r="U40" s="482"/>
      <c r="V40" s="631"/>
      <c r="W40" s="632" t="s">
        <v>1</v>
      </c>
      <c r="X40" s="633"/>
    </row>
    <row r="41" spans="1:25">
      <c r="A41" s="248"/>
      <c r="C41" s="244"/>
      <c r="D41" s="2"/>
      <c r="E41" s="2"/>
      <c r="F41" s="237"/>
      <c r="G41" s="237"/>
      <c r="H41" s="5"/>
      <c r="J41" s="493"/>
      <c r="K41" s="491"/>
      <c r="L41" s="491"/>
      <c r="M41" s="491"/>
      <c r="N41" s="491"/>
      <c r="O41" s="551"/>
      <c r="P41" s="460"/>
      <c r="R41" s="634" t="s">
        <v>441</v>
      </c>
      <c r="S41" s="635"/>
      <c r="T41" s="635"/>
      <c r="U41" s="635"/>
      <c r="V41" s="636"/>
      <c r="W41" s="668">
        <v>1</v>
      </c>
      <c r="X41" s="671" t="s">
        <v>61</v>
      </c>
    </row>
    <row r="42" spans="1:25" ht="14.9" customHeight="1">
      <c r="A42" s="11"/>
      <c r="B42" s="442" t="s">
        <v>343</v>
      </c>
      <c r="C42" s="442"/>
      <c r="D42" s="442"/>
      <c r="E42" s="2"/>
      <c r="F42" s="2"/>
      <c r="G42" s="2"/>
      <c r="H42" s="5"/>
      <c r="J42" s="440" t="s">
        <v>127</v>
      </c>
      <c r="K42" s="473"/>
      <c r="L42" s="473"/>
      <c r="M42" s="473"/>
      <c r="N42" s="473"/>
      <c r="O42" s="552">
        <v>5</v>
      </c>
      <c r="P42" s="463" t="s">
        <v>69</v>
      </c>
      <c r="R42" s="530"/>
      <c r="S42" s="531"/>
      <c r="T42" s="531"/>
      <c r="U42" s="531"/>
      <c r="V42" s="532"/>
      <c r="W42" s="669"/>
      <c r="X42" s="665"/>
    </row>
    <row r="43" spans="1:25" ht="14.4" customHeight="1">
      <c r="A43" s="11"/>
      <c r="B43" s="3"/>
      <c r="C43" s="3"/>
      <c r="D43" s="3"/>
      <c r="E43" s="3"/>
      <c r="F43" s="3"/>
      <c r="G43" s="3"/>
      <c r="H43" s="7"/>
      <c r="J43" s="440"/>
      <c r="K43" s="473"/>
      <c r="L43" s="473"/>
      <c r="M43" s="473"/>
      <c r="N43" s="473"/>
      <c r="O43" s="552"/>
      <c r="P43" s="463"/>
      <c r="R43" s="637"/>
      <c r="S43" s="638"/>
      <c r="T43" s="638"/>
      <c r="U43" s="638"/>
      <c r="V43" s="639"/>
      <c r="W43" s="670"/>
      <c r="X43" s="666"/>
    </row>
    <row r="44" spans="1:25" ht="15" thickBot="1">
      <c r="A44" s="70"/>
      <c r="J44" s="475"/>
      <c r="K44" s="476"/>
      <c r="L44" s="476"/>
      <c r="M44" s="476"/>
      <c r="N44" s="476"/>
      <c r="O44" s="553"/>
      <c r="P44" s="480"/>
      <c r="R44" s="634" t="s">
        <v>137</v>
      </c>
      <c r="S44" s="635"/>
      <c r="T44" s="635"/>
      <c r="U44" s="635"/>
      <c r="V44" s="636"/>
      <c r="W44" s="596">
        <v>3</v>
      </c>
      <c r="X44" s="598" t="s">
        <v>65</v>
      </c>
    </row>
    <row r="45" spans="1:25">
      <c r="A45"/>
      <c r="J45" s="276"/>
      <c r="K45" s="276"/>
      <c r="L45" s="276"/>
      <c r="M45" s="276"/>
      <c r="N45" s="276"/>
      <c r="O45" s="277"/>
      <c r="P45" s="277"/>
      <c r="R45" s="530"/>
      <c r="S45" s="531"/>
      <c r="T45" s="531"/>
      <c r="U45" s="531"/>
      <c r="V45" s="532"/>
      <c r="W45" s="597"/>
      <c r="X45" s="599"/>
    </row>
    <row r="46" spans="1:25">
      <c r="A46"/>
      <c r="R46" s="637"/>
      <c r="S46" s="638"/>
      <c r="T46" s="638"/>
      <c r="U46" s="638"/>
      <c r="V46" s="639"/>
      <c r="W46" s="640"/>
      <c r="X46" s="641"/>
    </row>
    <row r="47" spans="1:25" ht="15" thickBot="1">
      <c r="A47"/>
      <c r="R47" s="591" t="s">
        <v>136</v>
      </c>
      <c r="S47" s="592"/>
      <c r="T47" s="592"/>
      <c r="U47" s="592"/>
      <c r="V47" s="617"/>
      <c r="W47" s="278">
        <v>5</v>
      </c>
      <c r="X47" s="263" t="s">
        <v>69</v>
      </c>
    </row>
    <row r="48" spans="1:25">
      <c r="A48"/>
    </row>
  </sheetData>
  <sheetProtection algorithmName="SHA-512" hashValue="aUIowVLFncDXxEgPiJFNkG5tIheRscnuy/k5OZdvWovWyiD44s+dv9lWGh9kY+RBYkla3fVuGjUUyAVsmJkBeg==" saltValue="85aFGhYVAjX43pfPLkkejQ==" spinCount="100000" sheet="1" objects="1" scenarios="1"/>
  <customSheetViews>
    <customSheetView guid="{B75063BA-4717-43F8-8B16-CDCBE07E925A}" showPageBreaks="1">
      <selection activeCell="Q4" sqref="Q4"/>
    </customSheetView>
  </customSheetViews>
  <mergeCells count="80">
    <mergeCell ref="W11:X11"/>
    <mergeCell ref="W12:W15"/>
    <mergeCell ref="X12:X15"/>
    <mergeCell ref="R12:V15"/>
    <mergeCell ref="R41:V43"/>
    <mergeCell ref="W41:W43"/>
    <mergeCell ref="X41:X43"/>
    <mergeCell ref="R11:V11"/>
    <mergeCell ref="R16:V18"/>
    <mergeCell ref="W16:W18"/>
    <mergeCell ref="X16:X18"/>
    <mergeCell ref="R19:V21"/>
    <mergeCell ref="W19:W21"/>
    <mergeCell ref="X19:X21"/>
    <mergeCell ref="R22:V24"/>
    <mergeCell ref="W22:W24"/>
    <mergeCell ref="O38:O41"/>
    <mergeCell ref="P38:P41"/>
    <mergeCell ref="O42:O44"/>
    <mergeCell ref="P42:P44"/>
    <mergeCell ref="O33:P33"/>
    <mergeCell ref="O34:O37"/>
    <mergeCell ref="P34:P37"/>
    <mergeCell ref="O11:P11"/>
    <mergeCell ref="O12:O13"/>
    <mergeCell ref="P12:P13"/>
    <mergeCell ref="O14:O18"/>
    <mergeCell ref="P14:P18"/>
    <mergeCell ref="O19:O22"/>
    <mergeCell ref="P19:P22"/>
    <mergeCell ref="O23:O26"/>
    <mergeCell ref="J33:N33"/>
    <mergeCell ref="J34:N37"/>
    <mergeCell ref="J38:N41"/>
    <mergeCell ref="J42:N44"/>
    <mergeCell ref="J19:N22"/>
    <mergeCell ref="J23:N26"/>
    <mergeCell ref="J27:N30"/>
    <mergeCell ref="J11:N11"/>
    <mergeCell ref="J7:K7"/>
    <mergeCell ref="J8:K8"/>
    <mergeCell ref="J12:N13"/>
    <mergeCell ref="J14:N18"/>
    <mergeCell ref="B42:D42"/>
    <mergeCell ref="B21:D21"/>
    <mergeCell ref="D23:F23"/>
    <mergeCell ref="A24:B24"/>
    <mergeCell ref="A8:B8"/>
    <mergeCell ref="A10:B10"/>
    <mergeCell ref="A29:B29"/>
    <mergeCell ref="A31:B31"/>
    <mergeCell ref="A1:AA1"/>
    <mergeCell ref="R36:W36"/>
    <mergeCell ref="R34:W34"/>
    <mergeCell ref="R35:W35"/>
    <mergeCell ref="D2:F2"/>
    <mergeCell ref="A3:B3"/>
    <mergeCell ref="E6:F7"/>
    <mergeCell ref="E27:F28"/>
    <mergeCell ref="J3:K3"/>
    <mergeCell ref="L3:M3"/>
    <mergeCell ref="J4:K4"/>
    <mergeCell ref="J5:K5"/>
    <mergeCell ref="J6:K6"/>
    <mergeCell ref="P23:P26"/>
    <mergeCell ref="O27:O30"/>
    <mergeCell ref="P27:P30"/>
    <mergeCell ref="X22:X24"/>
    <mergeCell ref="R25:V29"/>
    <mergeCell ref="W25:W29"/>
    <mergeCell ref="X25:X29"/>
    <mergeCell ref="R47:V47"/>
    <mergeCell ref="R32:W33"/>
    <mergeCell ref="X32:Y33"/>
    <mergeCell ref="R37:W37"/>
    <mergeCell ref="R40:V40"/>
    <mergeCell ref="W40:X40"/>
    <mergeCell ref="R44:V46"/>
    <mergeCell ref="W44:W46"/>
    <mergeCell ref="X44:X46"/>
  </mergeCells>
  <conditionalFormatting sqref="G2">
    <cfRule type="cellIs" dxfId="15" priority="6" operator="equal">
      <formula>5</formula>
    </cfRule>
    <cfRule type="cellIs" dxfId="14" priority="7" operator="equal">
      <formula>4</formula>
    </cfRule>
    <cfRule type="cellIs" dxfId="13" priority="8" operator="equal">
      <formula>3</formula>
    </cfRule>
    <cfRule type="cellIs" dxfId="12" priority="9" operator="equal">
      <formula>2</formula>
    </cfRule>
  </conditionalFormatting>
  <conditionalFormatting sqref="G23">
    <cfRule type="cellIs" dxfId="11" priority="2" operator="equal">
      <formula>5</formula>
    </cfRule>
    <cfRule type="cellIs" dxfId="10" priority="3" operator="equal">
      <formula>4</formula>
    </cfRule>
    <cfRule type="cellIs" dxfId="9" priority="4" operator="equal">
      <formula>3</formula>
    </cfRule>
    <cfRule type="cellIs" dxfId="8" priority="5" operator="equal">
      <formula>2</formula>
    </cfRule>
  </conditionalFormatting>
  <pageMargins left="0.70866141732283472" right="0.70866141732283472" top="0.78740157480314965" bottom="0.78740157480314965" header="0.31496062992125984" footer="0.31496062992125984"/>
  <pageSetup paperSize="9" scale="68" fitToWidth="0" orientation="landscape" horizontalDpi="200" verticalDpi="200" r:id="rId1"/>
  <headerFooter>
    <oddHeader>&amp;L&amp;D&amp;C&amp;A&amp;R&amp;P/&amp;N</oddHeader>
  </headerFooter>
  <colBreaks count="1" manualBreakCount="1">
    <brk id="9"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r:uid="{99AB125F-8DE8-4522-95FB-11208E7EEBF2}">
          <x14:formula1>
            <xm:f>key!$D$33:$D$37</xm:f>
          </x14:formula1>
          <xm:sqref>C8 C14 C29 C35</xm:sqref>
        </x14:dataValidation>
        <x14:dataValidation type="list" operator="equal" allowBlank="1" showInputMessage="1" showErrorMessage="1" xr:uid="{4A55ACA5-A658-4FB7-94C0-FCC23C24015E}">
          <x14:formula1>
            <xm:f>key!$B$33:$B$35</xm:f>
          </x14:formula1>
          <xm:sqref>C10 C18 C31 C39</xm:sqref>
        </x14:dataValidation>
        <x14:dataValidation type="list" allowBlank="1" showInputMessage="1" showErrorMessage="1" xr:uid="{ADC5311A-180B-4C0A-B3D2-815A9AF8CE65}">
          <x14:formula1>
            <xm:f>key!$F$33:$F$36</xm:f>
          </x14:formula1>
          <xm:sqref>C16 C37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21D64-DFA1-4EAB-8F91-4A37BE3C7C97}">
  <sheetPr>
    <pageSetUpPr autoPageBreaks="0" fitToPage="1"/>
  </sheetPr>
  <dimension ref="A1:AA34"/>
  <sheetViews>
    <sheetView zoomScaleNormal="100" workbookViewId="0">
      <selection sqref="A1:AA1"/>
    </sheetView>
  </sheetViews>
  <sheetFormatPr baseColWidth="10" defaultRowHeight="14.5"/>
  <cols>
    <col min="1" max="1" width="14.54296875" customWidth="1"/>
    <col min="2" max="2" width="17.453125" customWidth="1"/>
    <col min="3" max="3" width="22.453125" customWidth="1"/>
    <col min="4" max="4" width="10.453125" customWidth="1"/>
    <col min="13" max="13" width="16" customWidth="1"/>
    <col min="17" max="17" width="11.54296875" customWidth="1"/>
  </cols>
  <sheetData>
    <row r="1" spans="1:27" ht="15.5">
      <c r="A1" s="497" t="str">
        <f>IF(Stammdaten!C5&lt;&gt;"", Stammdaten!C5,"")</f>
        <v>Revitalisierung am Gewässer XY</v>
      </c>
      <c r="B1" s="497"/>
      <c r="C1" s="497"/>
      <c r="D1" s="497"/>
      <c r="E1" s="497"/>
      <c r="F1" s="497"/>
      <c r="G1" s="497"/>
      <c r="H1" s="497"/>
      <c r="I1" s="497"/>
      <c r="J1" s="432"/>
      <c r="K1" s="432"/>
      <c r="L1" s="432"/>
      <c r="M1" s="432"/>
      <c r="N1" s="432"/>
      <c r="O1" s="432"/>
      <c r="P1" s="432"/>
      <c r="Q1" s="432"/>
      <c r="R1" s="432"/>
      <c r="S1" s="432"/>
      <c r="T1" s="432"/>
      <c r="U1" s="432"/>
      <c r="V1" s="432"/>
      <c r="W1" s="432"/>
      <c r="X1" s="432"/>
      <c r="Y1" s="432"/>
      <c r="Z1" s="432"/>
      <c r="AA1" s="432"/>
    </row>
    <row r="2" spans="1:27" ht="21.5" thickBot="1">
      <c r="A2" s="256" t="s">
        <v>45</v>
      </c>
      <c r="B2" s="4"/>
      <c r="C2" s="257"/>
      <c r="D2" s="649"/>
      <c r="E2" s="649"/>
      <c r="F2" s="649"/>
      <c r="G2" s="258"/>
      <c r="H2" s="4"/>
      <c r="I2" s="12"/>
      <c r="K2" s="8" t="s">
        <v>33</v>
      </c>
    </row>
    <row r="3" spans="1:27" ht="16.399999999999999" customHeight="1">
      <c r="A3" s="448" t="s">
        <v>29</v>
      </c>
      <c r="B3" s="449"/>
      <c r="C3" s="237"/>
      <c r="D3" s="2"/>
      <c r="E3" s="2"/>
      <c r="F3" s="2"/>
      <c r="G3" s="2"/>
      <c r="H3" s="2"/>
      <c r="I3" s="5"/>
      <c r="K3" s="684" t="s">
        <v>34</v>
      </c>
      <c r="L3" s="625"/>
      <c r="M3" s="684" t="s">
        <v>388</v>
      </c>
      <c r="N3" s="625"/>
    </row>
    <row r="4" spans="1:27" ht="16.399999999999999" customHeight="1">
      <c r="A4" s="90"/>
      <c r="B4" s="91"/>
      <c r="C4" s="237"/>
      <c r="D4" s="2"/>
      <c r="E4" s="2"/>
      <c r="F4" s="2"/>
      <c r="G4" s="2"/>
      <c r="H4" s="2"/>
      <c r="I4" s="5"/>
      <c r="K4" s="685"/>
      <c r="L4" s="627"/>
      <c r="M4" s="685"/>
      <c r="N4" s="627"/>
    </row>
    <row r="5" spans="1:27" ht="15" customHeight="1">
      <c r="A5" s="185" t="s">
        <v>35</v>
      </c>
      <c r="B5" s="2" t="s">
        <v>36</v>
      </c>
      <c r="C5" s="2"/>
      <c r="D5" s="279">
        <f>AVERAGE(BVA!H9,BVG!H27)</f>
        <v>3</v>
      </c>
      <c r="E5" s="2"/>
      <c r="F5" s="437" t="s">
        <v>50</v>
      </c>
      <c r="G5" s="437"/>
      <c r="H5" s="2"/>
      <c r="I5" s="5"/>
      <c r="K5" s="686" t="s">
        <v>37</v>
      </c>
      <c r="L5" s="687"/>
      <c r="M5" s="21">
        <v>1</v>
      </c>
      <c r="N5" s="39" t="s">
        <v>61</v>
      </c>
    </row>
    <row r="6" spans="1:27" ht="15" customHeight="1">
      <c r="A6" s="185"/>
      <c r="B6" s="2"/>
      <c r="C6" s="2"/>
      <c r="D6" s="2"/>
      <c r="E6" s="2"/>
      <c r="F6" s="437"/>
      <c r="G6" s="437"/>
      <c r="H6">
        <f>IF(ISNUMBER(D7),IF(SUM(D7,D9,D12,D15)=0,1,IF(SUM(D7,D9,D12,D15)=1,2,IF(SUM(D7,D9,D12,D15)=2,3,IF(SUM(D7,D9,D12,D15)=3,4,IF(SUM(D7,D9,D12,D15)=4,5))))),"")</f>
        <v>2</v>
      </c>
      <c r="I6" s="5"/>
      <c r="K6" s="688" t="s">
        <v>39</v>
      </c>
      <c r="L6" s="689"/>
      <c r="M6" s="22">
        <v>2</v>
      </c>
      <c r="N6" s="40" t="s">
        <v>63</v>
      </c>
    </row>
    <row r="7" spans="1:27" ht="15" customHeight="1">
      <c r="A7" s="185" t="s">
        <v>38</v>
      </c>
      <c r="B7" s="2" t="s">
        <v>424</v>
      </c>
      <c r="C7" s="2"/>
      <c r="D7" s="56">
        <v>0</v>
      </c>
      <c r="E7" s="693"/>
      <c r="F7" s="437"/>
      <c r="G7" s="437"/>
      <c r="H7" s="2"/>
      <c r="I7" s="5"/>
      <c r="K7" s="688" t="s">
        <v>41</v>
      </c>
      <c r="L7" s="689"/>
      <c r="M7" s="24">
        <v>3</v>
      </c>
      <c r="N7" s="41" t="s">
        <v>65</v>
      </c>
    </row>
    <row r="8" spans="1:27" ht="15" customHeight="1">
      <c r="A8" s="185"/>
      <c r="B8" s="2"/>
      <c r="C8" s="2"/>
      <c r="D8" s="2"/>
      <c r="E8" s="693"/>
      <c r="F8" s="2"/>
      <c r="G8" s="2"/>
      <c r="H8" s="2"/>
      <c r="I8" s="5"/>
      <c r="K8" s="688" t="s">
        <v>42</v>
      </c>
      <c r="L8" s="689"/>
      <c r="M8" s="25">
        <v>4</v>
      </c>
      <c r="N8" s="42" t="s">
        <v>67</v>
      </c>
    </row>
    <row r="9" spans="1:27" ht="15" customHeight="1" thickBot="1">
      <c r="A9" s="185"/>
      <c r="B9" s="422" t="s">
        <v>40</v>
      </c>
      <c r="C9" s="422"/>
      <c r="D9" s="56">
        <v>0</v>
      </c>
      <c r="E9" s="693"/>
      <c r="F9" s="10" t="s">
        <v>47</v>
      </c>
      <c r="G9" s="10"/>
      <c r="H9" s="2"/>
      <c r="I9" s="5"/>
      <c r="K9" s="691" t="s">
        <v>44</v>
      </c>
      <c r="L9" s="692"/>
      <c r="M9" s="26">
        <v>5</v>
      </c>
      <c r="N9" s="43" t="s">
        <v>69</v>
      </c>
    </row>
    <row r="10" spans="1:27" ht="15" customHeight="1" thickBot="1">
      <c r="A10" s="185"/>
      <c r="B10" s="422"/>
      <c r="C10" s="422"/>
      <c r="D10" s="2"/>
      <c r="E10" s="693"/>
      <c r="F10" s="10"/>
      <c r="G10" s="10"/>
      <c r="H10" s="13"/>
      <c r="I10" s="5"/>
    </row>
    <row r="11" spans="1:27" ht="15" customHeight="1">
      <c r="A11" s="185"/>
      <c r="B11" s="2"/>
      <c r="C11" s="2"/>
      <c r="D11" s="2"/>
      <c r="E11" s="693"/>
      <c r="F11" s="2" t="s">
        <v>48</v>
      </c>
      <c r="G11" s="2"/>
      <c r="H11" s="23">
        <f>D5*1/3</f>
        <v>1</v>
      </c>
      <c r="I11" s="5"/>
      <c r="K11" s="438" t="s">
        <v>143</v>
      </c>
      <c r="L11" s="651"/>
      <c r="M11" s="651"/>
      <c r="N11" s="651"/>
      <c r="O11" s="651"/>
      <c r="P11" s="651"/>
      <c r="Q11" s="690"/>
    </row>
    <row r="12" spans="1:27" ht="15" customHeight="1">
      <c r="A12" s="185"/>
      <c r="B12" s="422" t="s">
        <v>46</v>
      </c>
      <c r="C12" s="422"/>
      <c r="D12" s="56">
        <v>0</v>
      </c>
      <c r="E12" s="693"/>
      <c r="F12" s="13"/>
      <c r="G12" s="2"/>
      <c r="H12" s="2"/>
      <c r="I12" s="5"/>
      <c r="K12" s="440" t="s">
        <v>431</v>
      </c>
      <c r="L12" s="473"/>
      <c r="M12" s="473"/>
      <c r="N12" s="473"/>
      <c r="O12" s="473"/>
      <c r="P12" s="473"/>
      <c r="Q12" s="474"/>
    </row>
    <row r="13" spans="1:27" ht="15" customHeight="1">
      <c r="A13" s="185"/>
      <c r="B13" s="422"/>
      <c r="C13" s="422"/>
      <c r="D13" s="2"/>
      <c r="E13" s="693"/>
      <c r="F13" s="13" t="s">
        <v>49</v>
      </c>
      <c r="G13" s="2"/>
      <c r="H13" s="23">
        <f>H6*2/3</f>
        <v>1.3333333333333333</v>
      </c>
      <c r="I13" s="5"/>
      <c r="K13" s="440"/>
      <c r="L13" s="473"/>
      <c r="M13" s="473"/>
      <c r="N13" s="473"/>
      <c r="O13" s="473"/>
      <c r="P13" s="473"/>
      <c r="Q13" s="474"/>
    </row>
    <row r="14" spans="1:27" ht="15" customHeight="1">
      <c r="A14" s="185"/>
      <c r="B14" s="422"/>
      <c r="C14" s="422"/>
      <c r="D14" s="2"/>
      <c r="E14" s="693"/>
      <c r="F14" s="13"/>
      <c r="G14" s="2"/>
      <c r="H14" s="2"/>
      <c r="I14" s="5"/>
      <c r="K14" s="440"/>
      <c r="L14" s="473"/>
      <c r="M14" s="473"/>
      <c r="N14" s="473"/>
      <c r="O14" s="473"/>
      <c r="P14" s="473"/>
      <c r="Q14" s="474"/>
    </row>
    <row r="15" spans="1:27" ht="15" customHeight="1">
      <c r="A15" s="185"/>
      <c r="B15" s="2" t="s">
        <v>43</v>
      </c>
      <c r="C15" s="2"/>
      <c r="D15" s="2">
        <f>IF(AND(OR(NE!C8=5, NE!C8=4, NE!C8=3), OR(NE!C10=5, NE!C10=4, NE!C10=3)), 1, 0)</f>
        <v>1</v>
      </c>
      <c r="E15" s="693"/>
      <c r="F15" s="443" t="s">
        <v>77</v>
      </c>
      <c r="G15" s="443"/>
      <c r="I15" s="5"/>
      <c r="K15" s="440"/>
      <c r="L15" s="473"/>
      <c r="M15" s="473"/>
      <c r="N15" s="473"/>
      <c r="O15" s="473"/>
      <c r="P15" s="473"/>
      <c r="Q15" s="474"/>
    </row>
    <row r="16" spans="1:27" ht="14.9" customHeight="1">
      <c r="A16" s="248"/>
      <c r="B16" s="244"/>
      <c r="C16" s="244"/>
      <c r="D16" s="2"/>
      <c r="E16" s="2"/>
      <c r="F16" s="443"/>
      <c r="G16" s="443"/>
      <c r="H16" s="20">
        <f>IF(ISNUMBER(H11),ROUND((H11+H13),0),"")</f>
        <v>2</v>
      </c>
      <c r="I16" s="5"/>
      <c r="K16" s="440"/>
      <c r="L16" s="473"/>
      <c r="M16" s="473"/>
      <c r="N16" s="473"/>
      <c r="O16" s="473"/>
      <c r="P16" s="473"/>
      <c r="Q16" s="474"/>
    </row>
    <row r="17" spans="1:17" ht="32.9" customHeight="1">
      <c r="A17" s="11"/>
      <c r="B17" s="442" t="s">
        <v>221</v>
      </c>
      <c r="C17" s="442"/>
      <c r="D17" s="442"/>
      <c r="E17" s="2"/>
      <c r="F17" s="2"/>
      <c r="G17" s="2"/>
      <c r="H17" s="2"/>
      <c r="I17" s="5"/>
      <c r="K17" s="440" t="s">
        <v>330</v>
      </c>
      <c r="L17" s="473"/>
      <c r="M17" s="473"/>
      <c r="N17" s="473"/>
      <c r="O17" s="473"/>
      <c r="P17" s="473"/>
      <c r="Q17" s="474"/>
    </row>
    <row r="18" spans="1:17">
      <c r="A18" s="14"/>
      <c r="B18" s="3"/>
      <c r="C18" s="3"/>
      <c r="D18" s="3"/>
      <c r="E18" s="3"/>
      <c r="F18" s="3"/>
      <c r="G18" s="3"/>
      <c r="H18" s="3"/>
      <c r="I18" s="7"/>
      <c r="K18" s="440"/>
      <c r="L18" s="473"/>
      <c r="M18" s="473"/>
      <c r="N18" s="473"/>
      <c r="O18" s="473"/>
      <c r="P18" s="473"/>
      <c r="Q18" s="474"/>
    </row>
    <row r="19" spans="1:17" ht="21">
      <c r="A19" s="256" t="s">
        <v>45</v>
      </c>
      <c r="B19" s="4"/>
      <c r="C19" s="257"/>
      <c r="D19" s="649"/>
      <c r="E19" s="649"/>
      <c r="F19" s="649"/>
      <c r="G19" s="258"/>
      <c r="H19" s="4"/>
      <c r="I19" s="12"/>
      <c r="K19" s="440"/>
      <c r="L19" s="473"/>
      <c r="M19" s="473"/>
      <c r="N19" s="473"/>
      <c r="O19" s="473"/>
      <c r="P19" s="473"/>
      <c r="Q19" s="474"/>
    </row>
    <row r="20" spans="1:17" ht="18.5">
      <c r="A20" s="448" t="s">
        <v>51</v>
      </c>
      <c r="B20" s="449"/>
      <c r="C20" s="237"/>
      <c r="D20" s="2"/>
      <c r="E20" s="2"/>
      <c r="F20" s="2"/>
      <c r="G20" s="2"/>
      <c r="H20" s="2"/>
      <c r="I20" s="5"/>
      <c r="K20" s="440"/>
      <c r="L20" s="473"/>
      <c r="M20" s="473"/>
      <c r="N20" s="473"/>
      <c r="O20" s="473"/>
      <c r="P20" s="473"/>
      <c r="Q20" s="474"/>
    </row>
    <row r="21" spans="1:17" ht="18.75" customHeight="1">
      <c r="A21" s="185" t="s">
        <v>35</v>
      </c>
      <c r="B21" s="2" t="s">
        <v>36</v>
      </c>
      <c r="C21" s="2"/>
      <c r="D21" s="279">
        <f>AVERAGE(BVA!H27,BVG!H54)</f>
        <v>4</v>
      </c>
      <c r="E21" s="2"/>
      <c r="F21" s="437" t="s">
        <v>50</v>
      </c>
      <c r="G21" s="437"/>
      <c r="H21" s="2"/>
      <c r="I21" s="5"/>
      <c r="K21" s="440"/>
      <c r="L21" s="473"/>
      <c r="M21" s="473"/>
      <c r="N21" s="473"/>
      <c r="O21" s="473"/>
      <c r="P21" s="473"/>
      <c r="Q21" s="474"/>
    </row>
    <row r="22" spans="1:17" ht="14.15" customHeight="1">
      <c r="A22" s="185"/>
      <c r="B22" s="2"/>
      <c r="C22" s="2"/>
      <c r="D22" s="2"/>
      <c r="E22" s="2"/>
      <c r="F22" s="437"/>
      <c r="G22" s="437"/>
      <c r="H22">
        <f>IF(ISNUMBER(D23),IF(SUM(D23,D25,D28,D31)=0,1,IF(SUM(D23,D25,D28,D31)=1,2,IF(SUM(D23,D25,D28,D31)=2,3,IF(SUM(D23,D25,D28,D31)=3,4,IF(SUM(D23,D25,D28,D31)=4,5))))),"")</f>
        <v>4</v>
      </c>
      <c r="I22" s="5"/>
      <c r="K22" s="440"/>
      <c r="L22" s="473"/>
      <c r="M22" s="473"/>
      <c r="N22" s="473"/>
      <c r="O22" s="473"/>
      <c r="P22" s="473"/>
      <c r="Q22" s="474"/>
    </row>
    <row r="23" spans="1:17">
      <c r="A23" s="185" t="s">
        <v>38</v>
      </c>
      <c r="B23" s="2" t="s">
        <v>424</v>
      </c>
      <c r="C23" s="2"/>
      <c r="D23" s="56">
        <v>0</v>
      </c>
      <c r="E23" s="693"/>
      <c r="F23" s="437"/>
      <c r="G23" s="437"/>
      <c r="H23" s="2"/>
      <c r="I23" s="5"/>
      <c r="K23" s="559" t="s">
        <v>419</v>
      </c>
      <c r="L23" s="594"/>
      <c r="M23" s="594"/>
      <c r="N23" s="594"/>
      <c r="O23" s="594"/>
      <c r="P23" s="594"/>
      <c r="Q23" s="595"/>
    </row>
    <row r="24" spans="1:17">
      <c r="A24" s="185"/>
      <c r="B24" s="2"/>
      <c r="C24" s="2"/>
      <c r="D24" s="2"/>
      <c r="E24" s="693"/>
      <c r="F24" s="2"/>
      <c r="G24" s="2"/>
      <c r="H24" s="2" t="s">
        <v>76</v>
      </c>
      <c r="I24" s="5"/>
      <c r="K24" s="585"/>
      <c r="L24" s="586"/>
      <c r="M24" s="586"/>
      <c r="N24" s="586"/>
      <c r="O24" s="586"/>
      <c r="P24" s="586"/>
      <c r="Q24" s="587"/>
    </row>
    <row r="25" spans="1:17" ht="15.75" customHeight="1">
      <c r="A25" s="185"/>
      <c r="B25" s="422" t="s">
        <v>40</v>
      </c>
      <c r="C25" s="422"/>
      <c r="D25" s="56">
        <v>1</v>
      </c>
      <c r="E25" s="693"/>
      <c r="F25" s="10" t="s">
        <v>47</v>
      </c>
      <c r="G25" s="10"/>
      <c r="H25" s="2"/>
      <c r="I25" s="5"/>
      <c r="K25" s="585"/>
      <c r="L25" s="586"/>
      <c r="M25" s="586"/>
      <c r="N25" s="586"/>
      <c r="O25" s="586"/>
      <c r="P25" s="586"/>
      <c r="Q25" s="587"/>
    </row>
    <row r="26" spans="1:17">
      <c r="A26" s="185"/>
      <c r="B26" s="422"/>
      <c r="C26" s="422"/>
      <c r="D26" s="2"/>
      <c r="E26" s="693"/>
      <c r="F26" s="10"/>
      <c r="G26" s="10"/>
      <c r="H26" s="13"/>
      <c r="I26" s="5"/>
      <c r="K26" s="585"/>
      <c r="L26" s="586"/>
      <c r="M26" s="586"/>
      <c r="N26" s="586"/>
      <c r="O26" s="586"/>
      <c r="P26" s="586"/>
      <c r="Q26" s="587"/>
    </row>
    <row r="27" spans="1:17">
      <c r="A27" s="185"/>
      <c r="B27" s="2"/>
      <c r="C27" s="2"/>
      <c r="D27" s="2"/>
      <c r="E27" s="693"/>
      <c r="F27" s="2" t="s">
        <v>48</v>
      </c>
      <c r="G27" s="2"/>
      <c r="H27" s="23">
        <f>D21*1/3</f>
        <v>1.3333333333333333</v>
      </c>
      <c r="I27" s="5"/>
      <c r="K27" s="585"/>
      <c r="L27" s="586"/>
      <c r="M27" s="586"/>
      <c r="N27" s="586"/>
      <c r="O27" s="586"/>
      <c r="P27" s="586"/>
      <c r="Q27" s="587"/>
    </row>
    <row r="28" spans="1:17">
      <c r="A28" s="185"/>
      <c r="B28" s="422" t="s">
        <v>46</v>
      </c>
      <c r="C28" s="422"/>
      <c r="D28" s="56">
        <v>1</v>
      </c>
      <c r="E28" s="693"/>
      <c r="F28" s="13"/>
      <c r="G28" s="2"/>
      <c r="H28" s="2"/>
      <c r="I28" s="5"/>
      <c r="K28" s="585"/>
      <c r="L28" s="586"/>
      <c r="M28" s="586"/>
      <c r="N28" s="586"/>
      <c r="O28" s="586"/>
      <c r="P28" s="586"/>
      <c r="Q28" s="587"/>
    </row>
    <row r="29" spans="1:17">
      <c r="A29" s="185"/>
      <c r="B29" s="422"/>
      <c r="C29" s="422"/>
      <c r="D29" s="2"/>
      <c r="E29" s="693"/>
      <c r="F29" s="13" t="s">
        <v>49</v>
      </c>
      <c r="G29" s="2"/>
      <c r="H29" s="23">
        <f>H22*2/3</f>
        <v>2.6666666666666665</v>
      </c>
      <c r="I29" s="5"/>
      <c r="K29" s="585"/>
      <c r="L29" s="586"/>
      <c r="M29" s="586"/>
      <c r="N29" s="586"/>
      <c r="O29" s="586"/>
      <c r="P29" s="586"/>
      <c r="Q29" s="587"/>
    </row>
    <row r="30" spans="1:17">
      <c r="A30" s="185"/>
      <c r="B30" s="422"/>
      <c r="C30" s="422"/>
      <c r="D30" s="2"/>
      <c r="E30" s="693"/>
      <c r="F30" s="13"/>
      <c r="G30" s="2"/>
      <c r="H30" s="2"/>
      <c r="I30" s="5"/>
      <c r="K30" s="585"/>
      <c r="L30" s="586"/>
      <c r="M30" s="586"/>
      <c r="N30" s="586"/>
      <c r="O30" s="586"/>
      <c r="P30" s="586"/>
      <c r="Q30" s="587"/>
    </row>
    <row r="31" spans="1:17" ht="14.9" customHeight="1">
      <c r="A31" s="185"/>
      <c r="B31" s="2" t="s">
        <v>43</v>
      </c>
      <c r="C31" s="2"/>
      <c r="D31" s="2">
        <f>IF(AND(OR(NE!C29=3, NE!C29=4, NE!C29=5), OR(NE!C31=3, NE!C31=4, NE!C31=5)), 1, 0)</f>
        <v>1</v>
      </c>
      <c r="E31" s="693"/>
      <c r="F31" s="443" t="s">
        <v>77</v>
      </c>
      <c r="G31" s="443"/>
      <c r="I31" s="5"/>
      <c r="K31" s="600"/>
      <c r="L31" s="601"/>
      <c r="M31" s="601"/>
      <c r="N31" s="601"/>
      <c r="O31" s="601"/>
      <c r="P31" s="601"/>
      <c r="Q31" s="602"/>
    </row>
    <row r="32" spans="1:17">
      <c r="A32" s="248"/>
      <c r="B32" s="244"/>
      <c r="C32" s="244"/>
      <c r="D32" s="2"/>
      <c r="E32" s="2"/>
      <c r="F32" s="443"/>
      <c r="G32" s="443"/>
      <c r="H32" s="20">
        <f>IF(ISNUMBER(H27),ROUND((H27+H29),0),"")</f>
        <v>4</v>
      </c>
      <c r="I32" s="5"/>
      <c r="K32" s="559" t="s">
        <v>331</v>
      </c>
      <c r="L32" s="594"/>
      <c r="M32" s="594"/>
      <c r="N32" s="594"/>
      <c r="O32" s="594"/>
      <c r="P32" s="594"/>
      <c r="Q32" s="595"/>
    </row>
    <row r="33" spans="1:17" ht="30.65" customHeight="1">
      <c r="A33" s="11"/>
      <c r="B33" s="442" t="s">
        <v>221</v>
      </c>
      <c r="C33" s="442"/>
      <c r="D33" s="442"/>
      <c r="E33" s="2"/>
      <c r="F33" s="2"/>
      <c r="G33" s="2"/>
      <c r="H33" s="2"/>
      <c r="I33" s="5"/>
      <c r="K33" s="585"/>
      <c r="L33" s="586"/>
      <c r="M33" s="586"/>
      <c r="N33" s="586"/>
      <c r="O33" s="586"/>
      <c r="P33" s="586"/>
      <c r="Q33" s="587"/>
    </row>
    <row r="34" spans="1:17" ht="14.9" customHeight="1" thickBot="1">
      <c r="A34" s="14"/>
      <c r="B34" s="1"/>
      <c r="C34" s="249"/>
      <c r="D34" s="249"/>
      <c r="E34" s="3"/>
      <c r="F34" s="3"/>
      <c r="G34" s="3"/>
      <c r="H34" s="3"/>
      <c r="I34" s="7"/>
      <c r="K34" s="588"/>
      <c r="L34" s="589"/>
      <c r="M34" s="589"/>
      <c r="N34" s="589"/>
      <c r="O34" s="589"/>
      <c r="P34" s="589"/>
      <c r="Q34" s="590"/>
    </row>
  </sheetData>
  <sheetProtection algorithmName="SHA-512" hashValue="v3HOqa9jhwNZGgaSXHv3wOLPiChYAp6jERvfk1Qsn7DpflUWdN99n+pMAswZHbvfz3aIhJcE+lV/kWwmykrsEg==" saltValue="+XJuKb+YTZrdQsX44moOow==" spinCount="100000" sheet="1" objects="1" scenarios="1"/>
  <customSheetViews>
    <customSheetView guid="{B75063BA-4717-43F8-8B16-CDCBE07E925A}" showPageBreaks="1" topLeftCell="A7">
      <selection activeCell="K35" sqref="K35"/>
    </customSheetView>
  </customSheetViews>
  <mergeCells count="29">
    <mergeCell ref="K17:Q22"/>
    <mergeCell ref="B33:D33"/>
    <mergeCell ref="F5:G7"/>
    <mergeCell ref="D19:F19"/>
    <mergeCell ref="A20:B20"/>
    <mergeCell ref="F21:G23"/>
    <mergeCell ref="E23:E31"/>
    <mergeCell ref="B25:C26"/>
    <mergeCell ref="B28:C30"/>
    <mergeCell ref="E7:E15"/>
    <mergeCell ref="B9:C10"/>
    <mergeCell ref="B12:C14"/>
    <mergeCell ref="K12:Q16"/>
    <mergeCell ref="A1:AA1"/>
    <mergeCell ref="M3:N4"/>
    <mergeCell ref="F15:G16"/>
    <mergeCell ref="F31:G32"/>
    <mergeCell ref="B17:D17"/>
    <mergeCell ref="K3:L4"/>
    <mergeCell ref="K5:L5"/>
    <mergeCell ref="K6:L6"/>
    <mergeCell ref="K7:L7"/>
    <mergeCell ref="D2:F2"/>
    <mergeCell ref="A3:B3"/>
    <mergeCell ref="K23:Q31"/>
    <mergeCell ref="K11:Q11"/>
    <mergeCell ref="K32:Q34"/>
    <mergeCell ref="K8:L8"/>
    <mergeCell ref="K9:L9"/>
  </mergeCells>
  <conditionalFormatting sqref="G2">
    <cfRule type="cellIs" dxfId="7" priority="7" operator="equal">
      <formula>5</formula>
    </cfRule>
    <cfRule type="cellIs" dxfId="6" priority="8" operator="equal">
      <formula>4</formula>
    </cfRule>
    <cfRule type="cellIs" dxfId="5" priority="9" operator="equal">
      <formula>3</formula>
    </cfRule>
    <cfRule type="cellIs" dxfId="4" priority="10" operator="equal">
      <formula>2</formula>
    </cfRule>
  </conditionalFormatting>
  <conditionalFormatting sqref="G19">
    <cfRule type="cellIs" dxfId="3" priority="2" operator="equal">
      <formula>5</formula>
    </cfRule>
    <cfRule type="cellIs" dxfId="2" priority="3" operator="equal">
      <formula>4</formula>
    </cfRule>
    <cfRule type="cellIs" dxfId="1" priority="4" operator="equal">
      <formula>3</formula>
    </cfRule>
    <cfRule type="cellIs" dxfId="0" priority="5" operator="equal">
      <formula>2</formula>
    </cfRule>
  </conditionalFormatting>
  <pageMargins left="0.70866141732283472" right="0.70866141732283472" top="0.78740157480314965" bottom="0.78740157480314965" header="0.31496062992125984" footer="0.31496062992125984"/>
  <pageSetup paperSize="9" scale="61" orientation="landscape" horizontalDpi="200" verticalDpi="200" r:id="rId1"/>
  <headerFooter>
    <oddHeader>&amp;L&amp;D&amp;C&amp;A&amp;R&amp;P/&amp;N</oddHeader>
  </headerFooter>
  <extLst>
    <ext xmlns:x14="http://schemas.microsoft.com/office/spreadsheetml/2009/9/main" uri="{CCE6A557-97BC-4b89-ADB6-D9C93CAAB3DF}">
      <x14:dataValidations xmlns:xm="http://schemas.microsoft.com/office/excel/2006/main" count="1">
        <x14:dataValidation type="list" showInputMessage="1" showErrorMessage="1" xr:uid="{6A4919FC-8821-4327-9033-FE62CDC4C1F2}">
          <x14:formula1>
            <xm:f>key!$B$40:$B$41</xm:f>
          </x14:formula1>
          <xm:sqref>D7 D9 D12 D23 D25 D28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17AB-D182-46CD-8BBB-65A26E6E1E61}">
  <sheetPr>
    <pageSetUpPr autoPageBreaks="0" fitToPage="1"/>
  </sheetPr>
  <dimension ref="A1:AA43"/>
  <sheetViews>
    <sheetView zoomScaleNormal="100" workbookViewId="0">
      <selection activeCell="K26" sqref="K26"/>
    </sheetView>
  </sheetViews>
  <sheetFormatPr baseColWidth="10" defaultRowHeight="15" customHeight="1"/>
  <cols>
    <col min="1" max="1" width="10.54296875" style="31"/>
    <col min="3" max="3" width="7.54296875" customWidth="1"/>
    <col min="7" max="7" width="17.453125" customWidth="1"/>
    <col min="8" max="8" width="12" customWidth="1"/>
    <col min="13" max="13" width="10.54296875" customWidth="1"/>
    <col min="14" max="14" width="21.54296875" customWidth="1"/>
    <col min="15" max="15" width="10.54296875" customWidth="1"/>
  </cols>
  <sheetData>
    <row r="1" spans="1:27" ht="15" customHeight="1">
      <c r="A1" s="497" t="str">
        <f>IF(Stammdaten!C5&lt;&gt;"", Stammdaten!C5,"")</f>
        <v>Revitalisierung am Gewässer XY</v>
      </c>
      <c r="B1" s="497"/>
      <c r="C1" s="497"/>
      <c r="D1" s="497"/>
      <c r="E1" s="497"/>
      <c r="F1" s="497"/>
      <c r="G1" s="497"/>
      <c r="H1" s="497"/>
      <c r="I1" s="497"/>
      <c r="J1" s="432"/>
      <c r="K1" s="432"/>
      <c r="L1" s="432"/>
      <c r="M1" s="432"/>
      <c r="N1" s="432"/>
      <c r="O1" s="432"/>
      <c r="P1" s="432"/>
      <c r="Q1" s="432"/>
      <c r="R1" s="432"/>
      <c r="S1" s="432"/>
      <c r="T1" s="432"/>
      <c r="U1" s="432"/>
      <c r="V1" s="432"/>
      <c r="W1" s="432"/>
      <c r="X1" s="432"/>
      <c r="Y1" s="432"/>
      <c r="Z1" s="432"/>
      <c r="AA1" s="432"/>
    </row>
    <row r="2" spans="1:27" ht="15" customHeight="1">
      <c r="A2" s="17"/>
      <c r="B2" s="4"/>
      <c r="C2" s="4"/>
      <c r="D2" s="4"/>
      <c r="E2" s="4"/>
      <c r="F2" s="4"/>
      <c r="G2" s="4"/>
      <c r="H2" s="4"/>
      <c r="I2" s="12"/>
    </row>
    <row r="3" spans="1:27" ht="18.649999999999999" customHeight="1" thickBot="1">
      <c r="A3" s="18" t="s">
        <v>97</v>
      </c>
      <c r="B3" s="2"/>
      <c r="C3" s="2"/>
      <c r="D3" s="2"/>
      <c r="E3" s="2"/>
      <c r="F3" s="2"/>
      <c r="G3" s="2"/>
      <c r="H3" s="2"/>
      <c r="I3" s="5"/>
    </row>
    <row r="4" spans="1:27" ht="15" customHeight="1">
      <c r="A4" s="448" t="s">
        <v>29</v>
      </c>
      <c r="B4" s="449"/>
      <c r="C4" s="2"/>
      <c r="D4" s="522"/>
      <c r="E4" s="522"/>
      <c r="F4" s="522"/>
      <c r="G4" s="522"/>
      <c r="H4" s="522"/>
      <c r="I4" s="5"/>
      <c r="K4" s="700" t="s">
        <v>0</v>
      </c>
      <c r="L4" s="701"/>
      <c r="M4" s="694" t="s">
        <v>387</v>
      </c>
      <c r="N4" s="695"/>
    </row>
    <row r="5" spans="1:27" ht="15" customHeight="1">
      <c r="A5" s="11"/>
      <c r="B5" s="10"/>
      <c r="C5" s="2"/>
      <c r="D5" s="2"/>
      <c r="E5" s="2"/>
      <c r="F5" s="2"/>
      <c r="G5" s="2"/>
      <c r="H5" s="2"/>
      <c r="I5" s="5"/>
      <c r="K5" s="698" t="s">
        <v>2</v>
      </c>
      <c r="L5" s="699"/>
      <c r="M5" s="21">
        <v>1</v>
      </c>
      <c r="N5" s="39" t="s">
        <v>61</v>
      </c>
    </row>
    <row r="6" spans="1:27" ht="15" customHeight="1">
      <c r="A6" s="11" t="s">
        <v>98</v>
      </c>
      <c r="B6" s="10"/>
      <c r="C6" s="2"/>
      <c r="D6" s="2"/>
      <c r="E6" s="2"/>
      <c r="F6" s="2"/>
      <c r="G6" s="2"/>
      <c r="H6" s="2"/>
      <c r="I6" s="5"/>
      <c r="K6" s="696" t="s">
        <v>3</v>
      </c>
      <c r="L6" s="697"/>
      <c r="M6" s="22">
        <v>2</v>
      </c>
      <c r="N6" s="40" t="s">
        <v>63</v>
      </c>
    </row>
    <row r="7" spans="1:27" ht="15" customHeight="1">
      <c r="A7" s="11"/>
      <c r="B7" s="2"/>
      <c r="C7" s="2"/>
      <c r="D7" s="2"/>
      <c r="E7" s="2"/>
      <c r="F7" s="2"/>
      <c r="G7" s="2"/>
      <c r="H7" s="2"/>
      <c r="I7" s="5"/>
      <c r="K7" s="696" t="s">
        <v>5</v>
      </c>
      <c r="L7" s="697"/>
      <c r="M7" s="24">
        <v>3</v>
      </c>
      <c r="N7" s="41" t="s">
        <v>65</v>
      </c>
    </row>
    <row r="8" spans="1:27" ht="15" customHeight="1">
      <c r="A8" s="11"/>
      <c r="B8" s="2" t="s">
        <v>4</v>
      </c>
      <c r="C8" s="2"/>
      <c r="D8" s="23">
        <f>'GeStruk-Ist'!AA16</f>
        <v>3.3031914893617023</v>
      </c>
      <c r="E8" s="2"/>
      <c r="F8" s="2" t="s">
        <v>341</v>
      </c>
      <c r="G8" s="2"/>
      <c r="H8" s="23">
        <f>AVERAGE(D8:D18)</f>
        <v>3.9459219858156032</v>
      </c>
      <c r="I8" s="5"/>
      <c r="K8" s="696" t="s">
        <v>7</v>
      </c>
      <c r="L8" s="697"/>
      <c r="M8" s="25">
        <v>4</v>
      </c>
      <c r="N8" s="42" t="s">
        <v>67</v>
      </c>
    </row>
    <row r="9" spans="1:27" ht="15" customHeight="1" thickBot="1">
      <c r="A9" s="11"/>
      <c r="B9" s="2"/>
      <c r="C9" s="2"/>
      <c r="D9" s="2"/>
      <c r="E9" s="2"/>
      <c r="F9" s="2"/>
      <c r="G9" s="2"/>
      <c r="I9" s="5"/>
      <c r="K9" s="698" t="s">
        <v>9</v>
      </c>
      <c r="L9" s="699"/>
      <c r="M9" s="26">
        <v>5</v>
      </c>
      <c r="N9" s="43" t="s">
        <v>69</v>
      </c>
    </row>
    <row r="10" spans="1:27" ht="15" customHeight="1">
      <c r="A10" s="11"/>
      <c r="B10" s="2" t="s">
        <v>6</v>
      </c>
      <c r="C10" s="2"/>
      <c r="D10" s="23">
        <f>'GeStruk-Ist'!AA33</f>
        <v>5.3723404255319149</v>
      </c>
      <c r="E10" s="2"/>
      <c r="F10" s="437" t="s">
        <v>342</v>
      </c>
      <c r="G10" s="437"/>
      <c r="H10" s="27" t="str">
        <f>VLOOKUP(H8,{0,"5";2.61,"4";3.51,"3";4.41,"2";5.31,"1"},2,1)</f>
        <v>3</v>
      </c>
      <c r="I10" s="5"/>
      <c r="K10" s="281"/>
      <c r="L10" s="281"/>
      <c r="N10" s="282"/>
    </row>
    <row r="11" spans="1:27" ht="15" customHeight="1" thickBot="1">
      <c r="A11" s="11"/>
      <c r="B11" s="2"/>
      <c r="C11" s="2"/>
      <c r="D11" s="2"/>
      <c r="E11" s="2"/>
      <c r="F11" s="2"/>
      <c r="G11" s="2"/>
      <c r="H11" s="2"/>
      <c r="I11" s="5"/>
    </row>
    <row r="12" spans="1:27" ht="15" customHeight="1" thickBot="1">
      <c r="A12" s="11"/>
      <c r="B12" s="2" t="s">
        <v>8</v>
      </c>
      <c r="C12" s="2"/>
      <c r="D12" s="23">
        <f>'GeStruk-Ist'!AA45</f>
        <v>3.5</v>
      </c>
      <c r="E12" s="2"/>
      <c r="F12" s="10"/>
      <c r="G12" s="10"/>
      <c r="I12" s="5"/>
      <c r="K12" s="541" t="s">
        <v>138</v>
      </c>
      <c r="L12" s="542"/>
      <c r="M12" s="542"/>
      <c r="N12" s="543"/>
      <c r="O12" s="539" t="s">
        <v>387</v>
      </c>
      <c r="P12" s="540"/>
    </row>
    <row r="13" spans="1:27" ht="15" customHeight="1">
      <c r="A13" s="11"/>
      <c r="B13" s="2"/>
      <c r="C13" s="2"/>
      <c r="D13" s="2"/>
      <c r="E13" s="2"/>
      <c r="F13" s="2"/>
      <c r="G13" s="2"/>
      <c r="H13" s="2"/>
      <c r="I13" s="5"/>
      <c r="K13" s="582" t="s">
        <v>434</v>
      </c>
      <c r="L13" s="583"/>
      <c r="M13" s="583"/>
      <c r="N13" s="584"/>
      <c r="O13" s="702">
        <v>1</v>
      </c>
      <c r="P13" s="703" t="s">
        <v>61</v>
      </c>
    </row>
    <row r="14" spans="1:27" ht="15" customHeight="1">
      <c r="A14" s="11"/>
      <c r="B14" s="2" t="s">
        <v>10</v>
      </c>
      <c r="C14" s="2"/>
      <c r="D14" s="23">
        <f>'GeStruk-Ist'!AA39</f>
        <v>4.1861702127659575</v>
      </c>
      <c r="E14" s="2"/>
      <c r="F14" s="526" t="s">
        <v>339</v>
      </c>
      <c r="G14" s="526"/>
      <c r="H14" s="56">
        <v>1</v>
      </c>
      <c r="I14" s="5"/>
      <c r="K14" s="585"/>
      <c r="L14" s="586"/>
      <c r="M14" s="586"/>
      <c r="N14" s="587"/>
      <c r="O14" s="485"/>
      <c r="P14" s="704"/>
    </row>
    <row r="15" spans="1:27" ht="15" customHeight="1">
      <c r="A15" s="11"/>
      <c r="B15" s="2"/>
      <c r="C15" s="2"/>
      <c r="D15" s="2"/>
      <c r="E15" s="2"/>
      <c r="F15" s="10"/>
      <c r="G15" s="10"/>
      <c r="I15" s="5"/>
      <c r="K15" s="559" t="s">
        <v>329</v>
      </c>
      <c r="L15" s="594"/>
      <c r="M15" s="594"/>
      <c r="N15" s="595"/>
      <c r="O15" s="705">
        <v>3</v>
      </c>
      <c r="P15" s="598" t="s">
        <v>65</v>
      </c>
    </row>
    <row r="16" spans="1:27" ht="15" customHeight="1">
      <c r="A16" s="11"/>
      <c r="B16" s="2" t="s">
        <v>11</v>
      </c>
      <c r="C16" s="2"/>
      <c r="D16" s="23">
        <f>'GeStruk-Ist'!AA59</f>
        <v>3.4069148936170213</v>
      </c>
      <c r="E16" s="2"/>
      <c r="F16" s="442" t="s">
        <v>340</v>
      </c>
      <c r="G16" s="442"/>
      <c r="H16" s="442"/>
      <c r="I16" s="5"/>
      <c r="K16" s="585"/>
      <c r="L16" s="586"/>
      <c r="M16" s="586"/>
      <c r="N16" s="587"/>
      <c r="O16" s="706"/>
      <c r="P16" s="599"/>
    </row>
    <row r="17" spans="1:16" ht="15" customHeight="1">
      <c r="A17" s="11"/>
      <c r="B17" s="2"/>
      <c r="C17" s="2"/>
      <c r="D17" s="2"/>
      <c r="E17" s="2"/>
      <c r="F17" s="442"/>
      <c r="G17" s="442"/>
      <c r="H17" s="442"/>
      <c r="I17" s="5"/>
      <c r="K17" s="585"/>
      <c r="L17" s="586"/>
      <c r="M17" s="586"/>
      <c r="N17" s="587"/>
      <c r="O17" s="707"/>
      <c r="P17" s="641"/>
    </row>
    <row r="18" spans="1:16" ht="15" customHeight="1">
      <c r="A18" s="11"/>
      <c r="B18" s="2" t="s">
        <v>24</v>
      </c>
      <c r="C18" s="2"/>
      <c r="D18" s="23">
        <f>'GeStruk-Ist'!AA73</f>
        <v>3.9069148936170213</v>
      </c>
      <c r="E18" s="2"/>
      <c r="F18" s="2"/>
      <c r="G18" s="2"/>
      <c r="H18" s="2"/>
      <c r="I18" s="5"/>
      <c r="K18" s="634" t="s">
        <v>344</v>
      </c>
      <c r="L18" s="635"/>
      <c r="M18" s="635"/>
      <c r="N18" s="636"/>
      <c r="O18" s="708">
        <v>5</v>
      </c>
      <c r="P18" s="614" t="s">
        <v>69</v>
      </c>
    </row>
    <row r="19" spans="1:16" ht="15" customHeight="1">
      <c r="A19" s="11"/>
      <c r="B19" s="2"/>
      <c r="C19" s="2"/>
      <c r="D19" s="2"/>
      <c r="E19" s="2"/>
      <c r="F19" s="2"/>
      <c r="G19" s="2"/>
      <c r="I19" s="5"/>
      <c r="K19" s="530"/>
      <c r="L19" s="531"/>
      <c r="M19" s="531"/>
      <c r="N19" s="532"/>
      <c r="O19" s="709"/>
      <c r="P19" s="615"/>
    </row>
    <row r="20" spans="1:16" ht="15" customHeight="1">
      <c r="A20" s="11"/>
      <c r="B20" s="2"/>
      <c r="C20" s="2"/>
      <c r="D20" s="23"/>
      <c r="E20" s="2"/>
      <c r="F20" s="443" t="s">
        <v>99</v>
      </c>
      <c r="G20" s="443"/>
      <c r="H20" s="2"/>
      <c r="I20" s="5"/>
      <c r="K20" s="530"/>
      <c r="L20" s="531"/>
      <c r="M20" s="531"/>
      <c r="N20" s="532"/>
      <c r="O20" s="709"/>
      <c r="P20" s="615"/>
    </row>
    <row r="21" spans="1:16" ht="15" customHeight="1" thickBot="1">
      <c r="A21" s="11"/>
      <c r="B21" s="2"/>
      <c r="C21" s="2"/>
      <c r="D21" s="23"/>
      <c r="E21" s="2"/>
      <c r="F21" s="443"/>
      <c r="G21" s="443"/>
      <c r="H21" s="237">
        <f>ROUND(((H14+H10)/2),0)</f>
        <v>2</v>
      </c>
      <c r="I21" s="5"/>
      <c r="K21" s="533"/>
      <c r="L21" s="534"/>
      <c r="M21" s="534"/>
      <c r="N21" s="535"/>
      <c r="O21" s="710"/>
      <c r="P21" s="616"/>
    </row>
    <row r="22" spans="1:16" ht="15" customHeight="1">
      <c r="A22" s="11"/>
      <c r="B22" s="2"/>
      <c r="C22" s="2"/>
      <c r="D22" s="2"/>
      <c r="E22" s="2"/>
      <c r="F22" s="2"/>
      <c r="G22" s="2"/>
      <c r="H22" s="2"/>
      <c r="I22" s="5"/>
    </row>
    <row r="23" spans="1:16" ht="15" customHeight="1">
      <c r="A23" s="17"/>
      <c r="B23" s="4"/>
      <c r="C23" s="4"/>
      <c r="D23" s="4"/>
      <c r="E23" s="4"/>
      <c r="F23" s="4"/>
      <c r="G23" s="4"/>
      <c r="H23" s="4"/>
      <c r="I23" s="12"/>
    </row>
    <row r="24" spans="1:16" ht="17.899999999999999" customHeight="1">
      <c r="A24" s="18" t="s">
        <v>97</v>
      </c>
      <c r="B24" s="2"/>
      <c r="C24" s="2"/>
      <c r="D24" s="2"/>
      <c r="E24" s="2"/>
      <c r="F24" s="522"/>
      <c r="G24" s="522"/>
      <c r="H24" s="522"/>
      <c r="I24" s="5"/>
    </row>
    <row r="25" spans="1:16" ht="15" customHeight="1">
      <c r="A25" s="448" t="s">
        <v>51</v>
      </c>
      <c r="B25" s="449"/>
      <c r="C25" s="92"/>
      <c r="D25" s="92"/>
      <c r="E25" s="2"/>
      <c r="F25" s="2"/>
      <c r="G25" s="2"/>
      <c r="H25" s="2"/>
      <c r="I25" s="5"/>
    </row>
    <row r="26" spans="1:16" ht="15" customHeight="1">
      <c r="A26" s="11"/>
      <c r="B26" s="2"/>
      <c r="C26" s="10"/>
      <c r="D26" s="2"/>
      <c r="E26" s="2"/>
      <c r="F26" s="2"/>
      <c r="G26" s="2"/>
      <c r="H26" s="2"/>
      <c r="I26" s="5"/>
    </row>
    <row r="27" spans="1:16" ht="15" customHeight="1">
      <c r="A27" s="11" t="s">
        <v>98</v>
      </c>
      <c r="B27" s="2"/>
      <c r="C27" s="2"/>
      <c r="D27" s="2"/>
      <c r="E27" s="2"/>
      <c r="F27" s="2"/>
      <c r="G27" s="2"/>
      <c r="H27" s="2"/>
      <c r="I27" s="5"/>
    </row>
    <row r="28" spans="1:16" ht="15" customHeight="1">
      <c r="A28" s="11"/>
      <c r="B28" s="2"/>
      <c r="C28" s="2"/>
      <c r="D28" s="2"/>
      <c r="E28" s="2"/>
      <c r="F28" s="2"/>
      <c r="G28" s="2"/>
      <c r="H28" s="2"/>
      <c r="I28" s="5"/>
    </row>
    <row r="29" spans="1:16" ht="15" customHeight="1">
      <c r="A29" s="11"/>
      <c r="B29" s="2" t="s">
        <v>4</v>
      </c>
      <c r="C29" s="2"/>
      <c r="D29" s="23">
        <f>'GeStruk-Ziel'!Q15</f>
        <v>4.5</v>
      </c>
      <c r="E29" s="2"/>
      <c r="F29" s="437" t="s">
        <v>341</v>
      </c>
      <c r="G29" s="526"/>
      <c r="H29" s="23">
        <f>AVERAGE(D29:D39)</f>
        <v>3.1666666666666665</v>
      </c>
      <c r="I29" s="5"/>
    </row>
    <row r="30" spans="1:16" ht="15" customHeight="1">
      <c r="A30" s="11"/>
      <c r="B30" s="2"/>
      <c r="C30" s="2"/>
      <c r="D30" s="2"/>
      <c r="E30" s="2"/>
      <c r="F30" s="2"/>
      <c r="G30" s="2"/>
      <c r="I30" s="5"/>
    </row>
    <row r="31" spans="1:16" ht="15" customHeight="1">
      <c r="A31" s="11"/>
      <c r="B31" s="2" t="s">
        <v>6</v>
      </c>
      <c r="C31" s="2"/>
      <c r="D31" s="23">
        <f>'GeStruk-Ziel'!Q32</f>
        <v>4.5</v>
      </c>
      <c r="E31" s="2"/>
      <c r="F31" s="2" t="s">
        <v>342</v>
      </c>
      <c r="G31" s="2"/>
      <c r="H31" s="27" t="str">
        <f>VLOOKUP(H29,{0,"5";2.61,"4";3.51,"3";4.41,"2";5.31,"1"},2,1)</f>
        <v>4</v>
      </c>
      <c r="I31" s="5"/>
    </row>
    <row r="32" spans="1:16" ht="15" customHeight="1">
      <c r="A32" s="11"/>
      <c r="B32" s="2"/>
      <c r="C32" s="2"/>
      <c r="D32" s="2"/>
      <c r="E32" s="2"/>
      <c r="F32" s="2"/>
      <c r="G32" s="2"/>
      <c r="H32" s="2"/>
      <c r="I32" s="5"/>
    </row>
    <row r="33" spans="1:9" ht="15" customHeight="1">
      <c r="A33" s="11"/>
      <c r="B33" s="2" t="s">
        <v>8</v>
      </c>
      <c r="C33" s="2"/>
      <c r="D33" s="23">
        <f>'GeStruk-Ziel'!Q44</f>
        <v>2.5</v>
      </c>
      <c r="E33" s="2"/>
      <c r="F33" s="2"/>
      <c r="G33" s="2"/>
      <c r="H33" s="2"/>
      <c r="I33" s="5"/>
    </row>
    <row r="34" spans="1:9" ht="15" customHeight="1">
      <c r="A34" s="11"/>
      <c r="B34" s="2"/>
      <c r="C34" s="2"/>
      <c r="D34" s="2"/>
      <c r="E34" s="2"/>
      <c r="F34" s="2"/>
      <c r="G34" s="2"/>
      <c r="H34" s="101"/>
      <c r="I34" s="5"/>
    </row>
    <row r="35" spans="1:9" ht="15" customHeight="1">
      <c r="A35" s="11"/>
      <c r="B35" s="2" t="s">
        <v>10</v>
      </c>
      <c r="C35" s="2"/>
      <c r="D35" s="23">
        <f>'GeStruk-Ziel'!Q38</f>
        <v>2</v>
      </c>
      <c r="E35" s="2"/>
      <c r="F35" s="526" t="s">
        <v>339</v>
      </c>
      <c r="G35" s="526"/>
      <c r="H35" s="56">
        <v>3</v>
      </c>
      <c r="I35" s="5"/>
    </row>
    <row r="36" spans="1:9" ht="15" customHeight="1">
      <c r="A36" s="11"/>
      <c r="B36" s="2"/>
      <c r="C36" s="2"/>
      <c r="D36" s="2"/>
      <c r="E36" s="2"/>
      <c r="F36" s="10"/>
      <c r="G36" s="10"/>
      <c r="I36" s="5"/>
    </row>
    <row r="37" spans="1:9" ht="15" customHeight="1">
      <c r="A37" s="11"/>
      <c r="B37" s="2" t="s">
        <v>11</v>
      </c>
      <c r="C37" s="2"/>
      <c r="D37" s="23">
        <f>'GeStruk-Ziel'!Q58</f>
        <v>2.5</v>
      </c>
      <c r="E37" s="2"/>
      <c r="F37" s="442" t="s">
        <v>340</v>
      </c>
      <c r="G37" s="442"/>
      <c r="H37" s="442"/>
      <c r="I37" s="5"/>
    </row>
    <row r="38" spans="1:9" ht="15" customHeight="1">
      <c r="A38" s="11"/>
      <c r="B38" s="2"/>
      <c r="C38" s="2"/>
      <c r="D38" s="23"/>
      <c r="E38" s="2"/>
      <c r="F38" s="442"/>
      <c r="G38" s="442"/>
      <c r="H38" s="442"/>
      <c r="I38" s="5"/>
    </row>
    <row r="39" spans="1:9" ht="15" customHeight="1">
      <c r="A39" s="11"/>
      <c r="B39" s="2" t="s">
        <v>24</v>
      </c>
      <c r="C39" s="2"/>
      <c r="D39" s="23">
        <f>'GeStruk-Ziel'!Q72</f>
        <v>3</v>
      </c>
      <c r="E39" s="2"/>
      <c r="F39" s="15"/>
      <c r="G39" s="15"/>
      <c r="H39" s="15"/>
      <c r="I39" s="5"/>
    </row>
    <row r="40" spans="1:9" ht="15" customHeight="1">
      <c r="A40" s="11"/>
      <c r="B40" s="2"/>
      <c r="C40" s="2"/>
      <c r="D40" s="23"/>
      <c r="E40" s="2"/>
      <c r="F40" s="93"/>
      <c r="G40" s="93"/>
      <c r="H40" s="20"/>
      <c r="I40" s="5"/>
    </row>
    <row r="41" spans="1:9" ht="15" customHeight="1">
      <c r="A41" s="11"/>
      <c r="B41" s="2"/>
      <c r="C41" s="2"/>
      <c r="D41" s="23"/>
      <c r="E41" s="2"/>
      <c r="F41" s="443" t="s">
        <v>99</v>
      </c>
      <c r="G41" s="443"/>
      <c r="H41" s="237"/>
      <c r="I41" s="5"/>
    </row>
    <row r="42" spans="1:9" ht="15" customHeight="1">
      <c r="A42" s="11"/>
      <c r="B42" s="2"/>
      <c r="C42" s="2"/>
      <c r="D42" s="23"/>
      <c r="E42" s="2"/>
      <c r="F42" s="443"/>
      <c r="G42" s="443"/>
      <c r="H42" s="237">
        <f>ROUND(((H35+H31)/2),0)</f>
        <v>4</v>
      </c>
      <c r="I42" s="5"/>
    </row>
    <row r="43" spans="1:9" ht="15" customHeight="1">
      <c r="A43" s="14"/>
      <c r="B43" s="283"/>
      <c r="C43" s="19"/>
      <c r="D43" s="19"/>
      <c r="E43" s="19"/>
      <c r="F43" s="19"/>
      <c r="G43" s="19"/>
      <c r="H43" s="19"/>
      <c r="I43" s="7"/>
    </row>
  </sheetData>
  <sheetProtection algorithmName="SHA-512" hashValue="6l3KxoyTM3MbxNiNT/9GM8xxFpLmtBYLiSiUOcoRP14fae67xzku9XKT0+Os+4bJ4+3ew1w3szH3N1bF3kckGg==" saltValue="YfEuXj3LyVpR31FG10yKtQ==" spinCount="100000" sheet="1" objects="1" scenarios="1"/>
  <customSheetViews>
    <customSheetView guid="{B75063BA-4717-43F8-8B16-CDCBE07E925A}" showPageBreaks="1">
      <selection activeCell="L35" sqref="L35"/>
    </customSheetView>
  </customSheetViews>
  <mergeCells count="32">
    <mergeCell ref="O13:O14"/>
    <mergeCell ref="P13:P14"/>
    <mergeCell ref="K15:N17"/>
    <mergeCell ref="K18:N21"/>
    <mergeCell ref="O15:O17"/>
    <mergeCell ref="P15:P17"/>
    <mergeCell ref="O18:O21"/>
    <mergeCell ref="P18:P21"/>
    <mergeCell ref="K13:N14"/>
    <mergeCell ref="K12:N12"/>
    <mergeCell ref="K8:L8"/>
    <mergeCell ref="K9:L9"/>
    <mergeCell ref="K4:L4"/>
    <mergeCell ref="K5:L5"/>
    <mergeCell ref="K7:L7"/>
    <mergeCell ref="K6:L6"/>
    <mergeCell ref="A1:AA1"/>
    <mergeCell ref="F41:G42"/>
    <mergeCell ref="F29:G29"/>
    <mergeCell ref="F35:G35"/>
    <mergeCell ref="F37:H38"/>
    <mergeCell ref="A25:B25"/>
    <mergeCell ref="A4:B4"/>
    <mergeCell ref="F20:G21"/>
    <mergeCell ref="F24:H24"/>
    <mergeCell ref="D4:E4"/>
    <mergeCell ref="F4:H4"/>
    <mergeCell ref="F10:G10"/>
    <mergeCell ref="F14:G14"/>
    <mergeCell ref="F16:H17"/>
    <mergeCell ref="O12:P12"/>
    <mergeCell ref="M4:N4"/>
  </mergeCells>
  <dataValidations count="1">
    <dataValidation type="list" allowBlank="1" showInputMessage="1" showErrorMessage="1" sqref="J4" xr:uid="{9EF6FE3F-F900-4CD9-9446-5D471821FA0D}"/>
  </dataValidations>
  <pageMargins left="0.70866141732283472" right="0.70866141732283472" top="0.78740157480314965" bottom="0.78740157480314965" header="0.31496062992125984" footer="0.31496062992125984"/>
  <pageSetup paperSize="9" scale="69" orientation="landscape" r:id="rId1"/>
  <headerFooter>
    <oddHeader>&amp;L&amp;D&amp;C&amp;A&amp;R&amp;P/&amp;N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6765A317-8A34-4F52-92EF-1D02CC85C708}">
          <x14:formula1>
            <xm:f>key!$B$33:$B$35</xm:f>
          </x14:formula1>
          <xm:sqref>H14 H35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C019-F9A7-44E0-8B59-2C15477C39A5}">
  <sheetPr>
    <pageSetUpPr autoPageBreaks="0" fitToPage="1"/>
  </sheetPr>
  <dimension ref="A1:AA43"/>
  <sheetViews>
    <sheetView zoomScaleNormal="100" workbookViewId="0">
      <selection activeCell="T22" sqref="T22"/>
    </sheetView>
  </sheetViews>
  <sheetFormatPr baseColWidth="10" defaultRowHeight="14.5"/>
  <cols>
    <col min="2" max="2" width="23.453125" customWidth="1"/>
    <col min="3" max="3" width="8.54296875" customWidth="1"/>
  </cols>
  <sheetData>
    <row r="1" spans="1:27" s="1" customFormat="1" ht="15" customHeight="1">
      <c r="A1" s="432" t="str">
        <f>IF(Stammdaten!C5&lt;&gt;"", Stammdaten!C5,"")</f>
        <v>Revitalisierung am Gewässer XY</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row>
    <row r="2" spans="1:27">
      <c r="A2" s="11"/>
      <c r="B2" s="2"/>
      <c r="C2" s="2"/>
      <c r="D2" s="2"/>
      <c r="E2" s="2"/>
      <c r="F2" s="2"/>
      <c r="G2" s="5"/>
    </row>
    <row r="3" spans="1:27" ht="21">
      <c r="A3" s="18" t="s">
        <v>102</v>
      </c>
      <c r="B3" s="2"/>
      <c r="C3" s="2"/>
      <c r="D3" s="32"/>
      <c r="E3" s="32"/>
      <c r="F3" s="2"/>
      <c r="G3" s="5"/>
    </row>
    <row r="4" spans="1:27">
      <c r="A4" s="11"/>
      <c r="B4" s="29"/>
      <c r="C4" s="32"/>
      <c r="D4" s="32" t="s">
        <v>100</v>
      </c>
      <c r="E4" s="32" t="s">
        <v>88</v>
      </c>
      <c r="F4" s="34" t="s">
        <v>101</v>
      </c>
      <c r="G4" s="5"/>
    </row>
    <row r="5" spans="1:27">
      <c r="A5" s="11"/>
      <c r="B5" s="29"/>
      <c r="C5" s="32"/>
      <c r="D5" s="33"/>
      <c r="E5" s="33"/>
      <c r="F5" s="2"/>
      <c r="G5" s="5"/>
    </row>
    <row r="6" spans="1:27">
      <c r="A6" s="11"/>
      <c r="B6" s="2" t="s">
        <v>81</v>
      </c>
      <c r="C6" s="2"/>
      <c r="D6" s="16">
        <f>BVG!H27</f>
        <v>3</v>
      </c>
      <c r="E6" s="16">
        <f>BVG!H54</f>
        <v>4</v>
      </c>
      <c r="F6" s="16">
        <f>E6-D6</f>
        <v>1</v>
      </c>
      <c r="G6" s="5"/>
    </row>
    <row r="7" spans="1:27">
      <c r="A7" s="11"/>
      <c r="B7" s="2"/>
      <c r="C7" s="2"/>
      <c r="D7" s="2"/>
      <c r="E7" s="2"/>
      <c r="F7" s="16"/>
      <c r="G7" s="5"/>
    </row>
    <row r="8" spans="1:27">
      <c r="A8" s="11"/>
      <c r="B8" s="2" t="s">
        <v>85</v>
      </c>
      <c r="C8" s="2"/>
      <c r="D8" s="16">
        <f>BVA!H9</f>
        <v>3</v>
      </c>
      <c r="E8" s="16">
        <f>BVA!H27</f>
        <v>4</v>
      </c>
      <c r="F8" s="16">
        <f>E8-D8</f>
        <v>1</v>
      </c>
      <c r="G8" s="5"/>
    </row>
    <row r="9" spans="1:27">
      <c r="A9" s="11"/>
      <c r="B9" s="2"/>
      <c r="C9" s="2"/>
      <c r="D9" s="2"/>
      <c r="E9" s="2"/>
      <c r="F9" s="16"/>
      <c r="G9" s="5"/>
    </row>
    <row r="10" spans="1:27">
      <c r="A10" s="11"/>
      <c r="B10" s="2" t="s">
        <v>52</v>
      </c>
      <c r="C10" s="2"/>
      <c r="D10" s="16">
        <f>MK!H8</f>
        <v>4</v>
      </c>
      <c r="E10" s="16">
        <f>MK!H26</f>
        <v>5</v>
      </c>
      <c r="F10" s="16">
        <f>E10-D10</f>
        <v>1</v>
      </c>
      <c r="G10" s="5"/>
    </row>
    <row r="11" spans="1:27">
      <c r="A11" s="11"/>
      <c r="B11" s="2"/>
      <c r="C11" s="2"/>
      <c r="D11" s="2"/>
      <c r="E11" s="2"/>
      <c r="F11" s="16"/>
      <c r="G11" s="5"/>
    </row>
    <row r="12" spans="1:27">
      <c r="A12" s="11"/>
      <c r="B12" s="2" t="s">
        <v>103</v>
      </c>
      <c r="C12" s="2"/>
      <c r="D12" s="16">
        <f>NWR!G15</f>
        <v>3</v>
      </c>
      <c r="E12" s="16">
        <f>NWR!G31</f>
        <v>5</v>
      </c>
      <c r="F12" s="16">
        <f>E12-D12</f>
        <v>2</v>
      </c>
      <c r="G12" s="5"/>
    </row>
    <row r="13" spans="1:27">
      <c r="A13" s="11"/>
      <c r="B13" s="2"/>
      <c r="C13" s="2"/>
      <c r="D13" s="2"/>
      <c r="E13" s="2"/>
      <c r="F13" s="16"/>
      <c r="G13" s="5"/>
    </row>
    <row r="14" spans="1:27">
      <c r="A14" s="11"/>
      <c r="B14" s="2" t="s">
        <v>86</v>
      </c>
      <c r="C14" s="2"/>
      <c r="D14" s="16">
        <f>HWR!H20</f>
        <v>3</v>
      </c>
      <c r="E14" s="16">
        <f>HWR!H46</f>
        <v>4</v>
      </c>
      <c r="F14" s="16">
        <f>E14-D14</f>
        <v>1</v>
      </c>
      <c r="G14" s="5"/>
    </row>
    <row r="15" spans="1:27">
      <c r="A15" s="11"/>
      <c r="B15" s="2"/>
      <c r="C15" s="2"/>
      <c r="D15" s="2"/>
      <c r="E15" s="2"/>
      <c r="F15" s="16"/>
      <c r="G15" s="5"/>
    </row>
    <row r="16" spans="1:27">
      <c r="A16" s="11"/>
      <c r="B16" s="2" t="s">
        <v>87</v>
      </c>
      <c r="C16" s="2"/>
      <c r="D16" s="16">
        <f>SR!H22</f>
        <v>2</v>
      </c>
      <c r="E16" s="16">
        <f>SR!H51</f>
        <v>5</v>
      </c>
      <c r="F16" s="16">
        <f>E16-D16</f>
        <v>3</v>
      </c>
      <c r="G16" s="5"/>
    </row>
    <row r="17" spans="1:7">
      <c r="A17" s="11"/>
      <c r="B17" s="2"/>
      <c r="C17" s="2"/>
      <c r="D17" s="16"/>
      <c r="E17" s="2"/>
      <c r="F17" s="16"/>
      <c r="G17" s="5"/>
    </row>
    <row r="18" spans="1:7">
      <c r="A18" s="11"/>
      <c r="B18" s="2" t="s">
        <v>89</v>
      </c>
      <c r="C18" s="2"/>
      <c r="D18" s="38">
        <f>BSR!J15</f>
        <v>3</v>
      </c>
      <c r="E18" s="38">
        <f>BSR!J30</f>
        <v>4</v>
      </c>
      <c r="F18" s="16">
        <f>E18-D18</f>
        <v>1</v>
      </c>
      <c r="G18" s="5"/>
    </row>
    <row r="19" spans="1:7">
      <c r="A19" s="11"/>
      <c r="B19" s="2"/>
      <c r="C19" s="2"/>
      <c r="D19" s="2"/>
      <c r="E19" s="2"/>
      <c r="F19" s="16"/>
      <c r="G19" s="5"/>
    </row>
    <row r="20" spans="1:7">
      <c r="A20" s="11"/>
      <c r="B20" s="2" t="s">
        <v>90</v>
      </c>
      <c r="C20" s="2"/>
      <c r="D20" s="2">
        <f>NE!G7</f>
        <v>3</v>
      </c>
      <c r="E20" s="2">
        <f>NE!G28</f>
        <v>4</v>
      </c>
      <c r="F20" s="16">
        <f>E20-D20</f>
        <v>1</v>
      </c>
      <c r="G20" s="5"/>
    </row>
    <row r="21" spans="1:7">
      <c r="A21" s="11"/>
      <c r="B21" s="2"/>
      <c r="C21" s="2"/>
      <c r="D21" s="2"/>
      <c r="E21" s="2"/>
      <c r="F21" s="16"/>
      <c r="G21" s="5"/>
    </row>
    <row r="22" spans="1:7">
      <c r="A22" s="11"/>
      <c r="B22" s="2" t="s">
        <v>45</v>
      </c>
      <c r="C22" s="2"/>
      <c r="D22" s="16">
        <f>UB!H16</f>
        <v>2</v>
      </c>
      <c r="E22" s="16">
        <f>UB!H32</f>
        <v>4</v>
      </c>
      <c r="F22" s="16">
        <f>E22-D22</f>
        <v>2</v>
      </c>
      <c r="G22" s="5"/>
    </row>
    <row r="23" spans="1:7">
      <c r="A23" s="11"/>
      <c r="B23" s="2"/>
      <c r="C23" s="2"/>
      <c r="D23" s="2"/>
      <c r="E23" s="2"/>
      <c r="F23" s="16"/>
      <c r="G23" s="5"/>
    </row>
    <row r="24" spans="1:7">
      <c r="A24" s="11"/>
      <c r="B24" s="2" t="s">
        <v>97</v>
      </c>
      <c r="C24" s="2"/>
      <c r="D24" s="38">
        <f>LB!H21</f>
        <v>2</v>
      </c>
      <c r="E24" s="38">
        <f>LB!H42</f>
        <v>4</v>
      </c>
      <c r="F24" s="16">
        <f>E24-D24</f>
        <v>2</v>
      </c>
      <c r="G24" s="5"/>
    </row>
    <row r="25" spans="1:7">
      <c r="A25" s="11"/>
      <c r="B25" s="2"/>
      <c r="C25" s="2"/>
      <c r="D25" s="38"/>
      <c r="E25" s="38"/>
      <c r="F25" s="16"/>
      <c r="G25" s="5"/>
    </row>
    <row r="26" spans="1:7">
      <c r="A26" s="11"/>
      <c r="B26" s="4" t="s">
        <v>433</v>
      </c>
      <c r="C26" s="4"/>
      <c r="D26" s="384">
        <f>SUM(D6:D24)</f>
        <v>28</v>
      </c>
      <c r="E26" s="384">
        <f>SUM(E6:E24)</f>
        <v>43</v>
      </c>
      <c r="F26" s="385">
        <f>E26-D26</f>
        <v>15</v>
      </c>
      <c r="G26" s="5"/>
    </row>
    <row r="27" spans="1:7" ht="15" thickBot="1">
      <c r="A27" s="11"/>
      <c r="B27" s="2"/>
      <c r="C27" s="2"/>
      <c r="D27" s="2"/>
      <c r="E27" s="2"/>
      <c r="F27" s="2"/>
      <c r="G27" s="5"/>
    </row>
    <row r="28" spans="1:7">
      <c r="A28" s="46"/>
      <c r="B28" s="50"/>
      <c r="C28" s="50"/>
      <c r="D28" s="50"/>
      <c r="E28" s="50"/>
      <c r="F28" s="50"/>
      <c r="G28" s="51"/>
    </row>
    <row r="29" spans="1:7">
      <c r="A29" s="54" t="s">
        <v>152</v>
      </c>
      <c r="B29" s="2"/>
      <c r="C29" s="2"/>
      <c r="D29" s="2"/>
      <c r="E29" s="2"/>
      <c r="F29" s="2"/>
      <c r="G29" s="49"/>
    </row>
    <row r="30" spans="1:7">
      <c r="A30" s="47"/>
      <c r="B30" s="2"/>
      <c r="C30" s="2"/>
      <c r="D30" s="2"/>
      <c r="E30" s="2"/>
      <c r="F30" s="2"/>
      <c r="G30" s="49"/>
    </row>
    <row r="31" spans="1:7">
      <c r="A31" s="47"/>
      <c r="B31" s="2" t="s">
        <v>149</v>
      </c>
      <c r="C31" s="2"/>
      <c r="D31" s="2">
        <f>COUNTIF(F6:F24,"&gt;0")</f>
        <v>10</v>
      </c>
      <c r="E31" s="2" t="s">
        <v>151</v>
      </c>
      <c r="F31" s="2"/>
      <c r="G31" s="49"/>
    </row>
    <row r="32" spans="1:7">
      <c r="A32" s="47"/>
      <c r="B32" s="2"/>
      <c r="C32" s="2"/>
      <c r="D32" s="2"/>
      <c r="E32" s="2"/>
      <c r="F32" s="2"/>
      <c r="G32" s="49"/>
    </row>
    <row r="33" spans="1:7">
      <c r="A33" s="47"/>
      <c r="B33" s="2" t="s">
        <v>150</v>
      </c>
      <c r="C33" s="2"/>
      <c r="D33" s="16">
        <f>IF(Stammdaten!C20="ja",SUM(F6:F24)+2,SUM(F6:F24))</f>
        <v>15</v>
      </c>
      <c r="E33" s="2"/>
      <c r="F33" s="2"/>
      <c r="G33" s="49"/>
    </row>
    <row r="34" spans="1:7" ht="15" thickBot="1">
      <c r="A34" s="48"/>
      <c r="B34" s="52" t="str">
        <f>IF(Stammdaten!C20="ja","inklusive Bonus LS GÖ","")</f>
        <v/>
      </c>
      <c r="C34" s="52"/>
      <c r="D34" s="52"/>
      <c r="E34" s="52"/>
      <c r="F34" s="52"/>
      <c r="G34" s="53"/>
    </row>
    <row r="36" spans="1:7">
      <c r="D36" s="279"/>
    </row>
    <row r="37" spans="1:7" ht="15" thickBot="1"/>
    <row r="38" spans="1:7" ht="15" customHeight="1" thickBot="1">
      <c r="E38" s="713" t="s">
        <v>387</v>
      </c>
      <c r="F38" s="714"/>
      <c r="G38" s="633"/>
    </row>
    <row r="39" spans="1:7">
      <c r="E39" s="400">
        <v>1</v>
      </c>
      <c r="F39" s="715" t="s">
        <v>61</v>
      </c>
      <c r="G39" s="716"/>
    </row>
    <row r="40" spans="1:7">
      <c r="E40" s="396">
        <v>2</v>
      </c>
      <c r="F40" s="717" t="s">
        <v>63</v>
      </c>
      <c r="G40" s="718"/>
    </row>
    <row r="41" spans="1:7">
      <c r="E41" s="397">
        <v>3</v>
      </c>
      <c r="F41" s="719" t="s">
        <v>65</v>
      </c>
      <c r="G41" s="720"/>
    </row>
    <row r="42" spans="1:7">
      <c r="E42" s="398">
        <v>4</v>
      </c>
      <c r="F42" s="721" t="s">
        <v>67</v>
      </c>
      <c r="G42" s="722"/>
    </row>
    <row r="43" spans="1:7" ht="15" thickBot="1">
      <c r="E43" s="399">
        <v>5</v>
      </c>
      <c r="F43" s="711" t="s">
        <v>69</v>
      </c>
      <c r="G43" s="712"/>
    </row>
  </sheetData>
  <sheetProtection algorithmName="SHA-512" hashValue="9yjbqxyRywJeax/mwtvW8b0tX4A/lS90HblDQBqJ1EJpx2wS9Y/Gs8Wp3pmCvIbFs+czCTsln0JETlhv6VarNg==" saltValue="m/0Rejnc1ow3NL1u2hTFcQ==" spinCount="100000" sheet="1" objects="1" scenarios="1"/>
  <customSheetViews>
    <customSheetView guid="{B75063BA-4717-43F8-8B16-CDCBE07E925A}" showPageBreaks="1">
      <selection activeCell="Q34" sqref="Q34"/>
    </customSheetView>
  </customSheetViews>
  <mergeCells count="7">
    <mergeCell ref="A1:AA1"/>
    <mergeCell ref="F43:G43"/>
    <mergeCell ref="E38:G38"/>
    <mergeCell ref="F39:G39"/>
    <mergeCell ref="F40:G40"/>
    <mergeCell ref="F41:G41"/>
    <mergeCell ref="F42:G42"/>
  </mergeCells>
  <pageMargins left="0.70866141732283472" right="0.70866141732283472" top="0.78740157480314965" bottom="0.78740157480314965" header="0.31496062992125984" footer="0.31496062992125984"/>
  <pageSetup paperSize="9" scale="64" orientation="landscape" horizontalDpi="200" verticalDpi="200" r:id="rId1"/>
  <headerFooter>
    <oddHeader>&amp;L&amp;D&amp;C&amp;"+,Fett"&amp;14&amp;A&amp;R&amp;P/&amp;N</oddHeader>
  </headerFooter>
  <rowBreaks count="1" manualBreakCount="1">
    <brk id="27" max="16" man="1"/>
  </rowBreaks>
  <colBreaks count="1" manualBreakCount="1">
    <brk id="8" min="1" max="4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4A288-B128-4C27-AC24-6DF4734A917A}">
  <sheetPr>
    <pageSetUpPr autoPageBreaks="0"/>
  </sheetPr>
  <dimension ref="A1:AA42"/>
  <sheetViews>
    <sheetView topLeftCell="A10" zoomScaleNormal="100" workbookViewId="0">
      <selection activeCell="M52" sqref="M52"/>
    </sheetView>
  </sheetViews>
  <sheetFormatPr baseColWidth="10" defaultColWidth="11.54296875" defaultRowHeight="14.5"/>
  <cols>
    <col min="1" max="1" width="3.54296875" style="2" customWidth="1"/>
    <col min="2" max="2" width="21.54296875" style="2" customWidth="1"/>
    <col min="3" max="3" width="13.54296875" style="2" customWidth="1"/>
    <col min="4" max="4" width="13.90625" style="2" customWidth="1"/>
    <col min="5" max="5" width="3.453125" style="2" customWidth="1"/>
    <col min="6" max="6" width="17.90625" style="2" customWidth="1"/>
    <col min="7" max="7" width="11.54296875" style="2"/>
    <col min="8" max="8" width="8.54296875" style="2" customWidth="1"/>
    <col min="9" max="9" width="10.453125" style="2" customWidth="1"/>
    <col min="10" max="10" width="11.54296875" style="2" customWidth="1"/>
    <col min="11" max="11" width="11.453125" style="2" customWidth="1"/>
    <col min="12" max="15" width="11.54296875" style="2"/>
    <col min="16" max="16" width="6.90625" style="2" customWidth="1"/>
    <col min="17" max="16384" width="11.54296875" style="2"/>
  </cols>
  <sheetData>
    <row r="1" spans="1:27" s="1" customFormat="1" ht="15" customHeight="1">
      <c r="A1" s="432" t="str">
        <f>IF(Stammdaten!C5&lt;&gt;"", Stammdaten!C5,"")</f>
        <v>Revitalisierung am Gewässer XY</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row>
    <row r="2" spans="1:27">
      <c r="A2" s="17"/>
      <c r="B2" s="4"/>
      <c r="C2" s="4"/>
      <c r="D2" s="4"/>
      <c r="E2" s="4"/>
      <c r="F2" s="4"/>
      <c r="G2" s="4"/>
      <c r="H2" s="4"/>
      <c r="I2" s="4"/>
      <c r="J2" s="4"/>
      <c r="K2" s="4"/>
      <c r="L2" s="12"/>
    </row>
    <row r="3" spans="1:27" ht="21">
      <c r="A3" s="11"/>
      <c r="B3" s="30" t="s">
        <v>195</v>
      </c>
      <c r="L3" s="5"/>
    </row>
    <row r="4" spans="1:27">
      <c r="A4" s="11"/>
      <c r="L4" s="5"/>
    </row>
    <row r="5" spans="1:27">
      <c r="A5" s="11"/>
      <c r="B5" s="403" t="s">
        <v>180</v>
      </c>
      <c r="C5" s="403"/>
      <c r="D5" s="69"/>
      <c r="E5" s="284" t="str">
        <f>Stammdaten!C29</f>
        <v>mit Laufentwicklung/ 
Auenentwicklung</v>
      </c>
      <c r="L5" s="5"/>
    </row>
    <row r="6" spans="1:27">
      <c r="A6" s="11"/>
      <c r="E6" s="284"/>
      <c r="L6" s="5"/>
    </row>
    <row r="7" spans="1:27">
      <c r="A7" s="11"/>
      <c r="B7" s="34" t="s">
        <v>196</v>
      </c>
      <c r="C7" s="34"/>
      <c r="D7" s="34"/>
      <c r="E7" s="284" t="str">
        <f>Stammdaten!I27</f>
        <v>innerorts</v>
      </c>
      <c r="L7" s="5"/>
    </row>
    <row r="8" spans="1:27">
      <c r="A8" s="11"/>
      <c r="B8" s="34"/>
      <c r="C8" s="34"/>
      <c r="D8" s="34"/>
      <c r="E8" s="284"/>
      <c r="L8" s="5"/>
    </row>
    <row r="9" spans="1:27">
      <c r="A9" s="11"/>
      <c r="B9" s="34" t="s">
        <v>412</v>
      </c>
      <c r="C9" s="34"/>
      <c r="D9" s="34"/>
      <c r="E9" s="725">
        <f>Stammdaten!F58/(Stammdaten!F27/1000)</f>
        <v>1734285.7142857143</v>
      </c>
      <c r="F9" s="725"/>
      <c r="G9" s="725"/>
      <c r="I9" s="363"/>
      <c r="L9" s="5"/>
    </row>
    <row r="10" spans="1:27">
      <c r="A10" s="11"/>
      <c r="B10" s="34"/>
      <c r="C10" s="34"/>
      <c r="D10" s="34"/>
      <c r="E10" s="284"/>
      <c r="L10" s="5"/>
    </row>
    <row r="11" spans="1:27">
      <c r="A11" s="11"/>
      <c r="B11" s="723" t="s">
        <v>149</v>
      </c>
      <c r="C11" s="723"/>
      <c r="D11" s="87"/>
      <c r="E11" s="284">
        <f>Auswertung!D31</f>
        <v>10</v>
      </c>
      <c r="F11" s="284" t="s">
        <v>151</v>
      </c>
      <c r="L11" s="5"/>
    </row>
    <row r="12" spans="1:27">
      <c r="A12" s="11"/>
      <c r="B12" s="34"/>
      <c r="C12" s="34"/>
      <c r="D12" s="34"/>
      <c r="E12" s="284"/>
      <c r="L12" s="5"/>
    </row>
    <row r="13" spans="1:27">
      <c r="A13" s="11"/>
      <c r="B13" s="723" t="s">
        <v>150</v>
      </c>
      <c r="C13" s="723"/>
      <c r="D13" s="87"/>
      <c r="E13" s="726">
        <f>Auswertung!D33</f>
        <v>15</v>
      </c>
      <c r="F13" s="726"/>
      <c r="L13" s="5"/>
    </row>
    <row r="14" spans="1:27">
      <c r="A14" s="11"/>
      <c r="B14" s="34"/>
      <c r="C14" s="34"/>
      <c r="D14" s="34"/>
      <c r="L14" s="5"/>
    </row>
    <row r="15" spans="1:27">
      <c r="A15" s="11"/>
      <c r="B15" s="34" t="s">
        <v>321</v>
      </c>
      <c r="C15" s="34"/>
      <c r="D15" s="34"/>
      <c r="E15" s="284" t="str">
        <f>IF(E5=key!M3,IF(E9&lt;key!I6,key!B5,IF(E9&lt;key!J6,key!B6,IF(E9&lt;key!K6,key!B7,key!B8))),IF(AND(E5=key!M4,E7=key!M6),IF(E9&lt;key!I7,key!B5,IF(E9&lt;key!J7,key!B6,IF(E9&lt;key!K7,key!B7,key!B8))),IF(AND(E5=key!M4,E7=key!M7),IF(E9&lt;key!I8,key!B5,IF(E9&lt;key!J8,key!B6,IF(E9&lt;key!K8,key!B7,key!B8))))))</f>
        <v>Kosten unterhalb des Medians + 10%</v>
      </c>
      <c r="L15" s="5"/>
    </row>
    <row r="16" spans="1:27">
      <c r="A16" s="11"/>
      <c r="L16" s="5"/>
    </row>
    <row r="17" spans="1:16" ht="30" customHeight="1">
      <c r="A17" s="11"/>
      <c r="B17" s="724" t="s">
        <v>216</v>
      </c>
      <c r="C17" s="724"/>
      <c r="D17" s="88"/>
      <c r="E17" s="88" t="str">
        <f>IF(Auswertung!D26&lt;30,IF(AND($E$15=key!$B$5,$E$11&gt;=4,$E$13&gt;=6),key!$E$19,IF(AND($E$15=key!$B$6,$E$11&gt;=6,$E$13&gt;=10),key!$E$19,IF(AND($E$15=key!$B$7,$E$11&gt;=8,$E$13&gt;=16),key!$E$19,IF($E$15=key!$B$8,key!$E$20,key!$E$20)))),IF(AND($E$15=key!$B$5,$E$11&gt;=4,$E$13&gt;=5),key!$E$19,IF(AND($E$15=key!$B$6,$E$11&gt;=6,$E$13&gt;=9),key!$E$19,IF(AND($E$15=key!$B$7,$E$11&gt;=8,$E$13&gt;=15),key!$E$19,IF($E$15=key!$B$8,key!$E$20,key!$E$20)))))</f>
        <v>Anforderungen erfüllt, Maßnahme hat eine gute Wertschöpfung</v>
      </c>
      <c r="F17" s="88"/>
      <c r="G17" s="88"/>
      <c r="H17" s="88"/>
      <c r="I17" s="88"/>
      <c r="J17" s="88"/>
      <c r="K17" s="88"/>
      <c r="L17" s="5"/>
    </row>
    <row r="18" spans="1:16">
      <c r="A18" s="11"/>
      <c r="L18" s="5"/>
    </row>
    <row r="19" spans="1:16">
      <c r="A19" s="11"/>
      <c r="L19" s="5"/>
    </row>
    <row r="20" spans="1:16">
      <c r="A20" s="366"/>
      <c r="B20" s="367"/>
      <c r="C20" s="367"/>
      <c r="D20" s="367"/>
      <c r="E20" s="367"/>
      <c r="F20" s="367"/>
      <c r="G20" s="367"/>
      <c r="H20" s="367"/>
      <c r="I20" s="367"/>
      <c r="J20" s="367"/>
      <c r="K20" s="367"/>
      <c r="L20" s="367"/>
      <c r="M20" s="367"/>
      <c r="N20" s="367"/>
      <c r="O20" s="367"/>
      <c r="P20" s="368"/>
    </row>
    <row r="21" spans="1:16" ht="15.5">
      <c r="A21" s="369"/>
      <c r="B21" s="370" t="s">
        <v>215</v>
      </c>
      <c r="C21" s="371"/>
      <c r="D21" s="371"/>
      <c r="E21" s="371"/>
      <c r="F21" s="371"/>
      <c r="G21" s="372"/>
      <c r="H21" s="371"/>
      <c r="I21" s="371"/>
      <c r="J21" s="371"/>
      <c r="K21" s="371"/>
      <c r="L21" s="371"/>
      <c r="M21" s="371"/>
      <c r="N21" s="371"/>
      <c r="O21" s="371"/>
      <c r="P21" s="373"/>
    </row>
    <row r="22" spans="1:16">
      <c r="A22" s="369"/>
      <c r="B22" s="371"/>
      <c r="C22" s="371"/>
      <c r="D22" s="371"/>
      <c r="E22" s="371"/>
      <c r="F22" s="371"/>
      <c r="G22" s="371"/>
      <c r="H22" s="371"/>
      <c r="I22" s="371"/>
      <c r="J22" s="371"/>
      <c r="K22" s="371"/>
      <c r="L22" s="371"/>
      <c r="M22" s="371"/>
      <c r="N22" s="371"/>
      <c r="O22" s="371"/>
      <c r="P22" s="373"/>
    </row>
    <row r="23" spans="1:16">
      <c r="A23" s="331"/>
      <c r="B23" s="383" t="s">
        <v>199</v>
      </c>
      <c r="C23" s="383"/>
      <c r="D23" s="383"/>
      <c r="E23" s="383" t="s">
        <v>200</v>
      </c>
      <c r="F23" s="332"/>
      <c r="G23" s="332"/>
      <c r="H23" s="332"/>
      <c r="I23" s="332"/>
      <c r="J23" s="332"/>
      <c r="K23" s="332"/>
      <c r="L23" s="332"/>
      <c r="M23" s="332"/>
      <c r="N23" s="332"/>
      <c r="O23" s="332"/>
      <c r="P23" s="381"/>
    </row>
    <row r="24" spans="1:16">
      <c r="A24" s="331"/>
      <c r="B24" s="383"/>
      <c r="C24" s="383"/>
      <c r="D24" s="383"/>
      <c r="E24" s="383"/>
      <c r="F24" s="332"/>
      <c r="G24" s="332"/>
      <c r="H24" s="332"/>
      <c r="I24" s="332"/>
      <c r="J24" s="332"/>
      <c r="K24" s="332"/>
      <c r="L24" s="332"/>
      <c r="M24" s="332"/>
      <c r="N24" s="332"/>
      <c r="O24" s="332"/>
      <c r="P24" s="381"/>
    </row>
    <row r="25" spans="1:16">
      <c r="A25" s="333"/>
      <c r="B25" s="737" t="s">
        <v>231</v>
      </c>
      <c r="C25" s="737"/>
      <c r="D25" s="330"/>
      <c r="E25" s="737" t="s">
        <v>435</v>
      </c>
      <c r="F25" s="737"/>
      <c r="G25" s="737"/>
      <c r="H25" s="737"/>
      <c r="I25" s="737"/>
      <c r="J25" s="737"/>
      <c r="K25" s="737"/>
      <c r="L25" s="737"/>
      <c r="M25" s="737"/>
      <c r="N25" s="737"/>
      <c r="O25" s="737"/>
      <c r="P25" s="738"/>
    </row>
    <row r="26" spans="1:16">
      <c r="A26" s="333"/>
      <c r="B26" s="330"/>
      <c r="C26" s="330"/>
      <c r="D26" s="330"/>
      <c r="E26" s="330"/>
      <c r="F26" s="330"/>
      <c r="G26" s="330"/>
      <c r="H26" s="330"/>
      <c r="I26" s="330"/>
      <c r="J26" s="330"/>
      <c r="K26" s="330"/>
      <c r="L26" s="330"/>
      <c r="M26" s="330"/>
      <c r="N26" s="330"/>
      <c r="O26" s="330"/>
      <c r="P26" s="334"/>
    </row>
    <row r="27" spans="1:16">
      <c r="A27" s="333"/>
      <c r="B27" s="737" t="s">
        <v>234</v>
      </c>
      <c r="C27" s="737"/>
      <c r="D27" s="737"/>
      <c r="E27" s="737" t="s">
        <v>438</v>
      </c>
      <c r="F27" s="737"/>
      <c r="G27" s="737"/>
      <c r="H27" s="737"/>
      <c r="I27" s="737"/>
      <c r="J27" s="737"/>
      <c r="K27" s="737"/>
      <c r="L27" s="737"/>
      <c r="M27" s="737"/>
      <c r="N27" s="737"/>
      <c r="O27" s="737"/>
      <c r="P27" s="738"/>
    </row>
    <row r="28" spans="1:16">
      <c r="A28" s="333"/>
      <c r="B28" s="330"/>
      <c r="C28" s="330"/>
      <c r="D28" s="330"/>
      <c r="E28" s="330"/>
      <c r="F28" s="330"/>
      <c r="G28" s="330"/>
      <c r="H28" s="330"/>
      <c r="I28" s="330"/>
      <c r="J28" s="330"/>
      <c r="K28" s="330"/>
      <c r="L28" s="330"/>
      <c r="M28" s="330"/>
      <c r="N28" s="330"/>
      <c r="O28" s="330"/>
      <c r="P28" s="334"/>
    </row>
    <row r="29" spans="1:16">
      <c r="A29" s="333"/>
      <c r="B29" s="737" t="s">
        <v>235</v>
      </c>
      <c r="C29" s="737"/>
      <c r="D29" s="737"/>
      <c r="E29" s="737" t="s">
        <v>436</v>
      </c>
      <c r="F29" s="737"/>
      <c r="G29" s="737"/>
      <c r="H29" s="737"/>
      <c r="I29" s="737"/>
      <c r="J29" s="737"/>
      <c r="K29" s="737"/>
      <c r="L29" s="737"/>
      <c r="M29" s="737"/>
      <c r="N29" s="737"/>
      <c r="O29" s="330"/>
      <c r="P29" s="334"/>
    </row>
    <row r="30" spans="1:16">
      <c r="A30" s="333"/>
      <c r="B30" s="330"/>
      <c r="C30" s="330"/>
      <c r="D30" s="330"/>
      <c r="E30" s="330"/>
      <c r="F30" s="330"/>
      <c r="G30" s="330"/>
      <c r="H30" s="330"/>
      <c r="I30" s="330"/>
      <c r="J30" s="330"/>
      <c r="K30" s="330"/>
      <c r="L30" s="330"/>
      <c r="M30" s="330"/>
      <c r="N30" s="330"/>
      <c r="O30" s="330"/>
      <c r="P30" s="334"/>
    </row>
    <row r="31" spans="1:16">
      <c r="A31" s="333"/>
      <c r="B31" s="737" t="s">
        <v>236</v>
      </c>
      <c r="C31" s="737"/>
      <c r="D31" s="737"/>
      <c r="E31" s="737" t="s">
        <v>222</v>
      </c>
      <c r="F31" s="737"/>
      <c r="G31" s="737"/>
      <c r="H31" s="737"/>
      <c r="I31" s="737"/>
      <c r="J31" s="737"/>
      <c r="K31" s="737"/>
      <c r="L31" s="737"/>
      <c r="M31" s="737"/>
      <c r="N31" s="330"/>
      <c r="O31" s="330"/>
      <c r="P31" s="334"/>
    </row>
    <row r="32" spans="1:16">
      <c r="A32" s="333"/>
      <c r="B32" s="382"/>
      <c r="C32" s="382"/>
      <c r="D32" s="382"/>
      <c r="E32" s="382"/>
      <c r="F32" s="382"/>
      <c r="G32" s="382"/>
      <c r="H32" s="382"/>
      <c r="I32" s="382"/>
      <c r="J32" s="382"/>
      <c r="K32" s="382"/>
      <c r="L32" s="382"/>
      <c r="M32" s="382"/>
      <c r="N32" s="330"/>
      <c r="O32" s="330"/>
      <c r="P32" s="334"/>
    </row>
    <row r="33" spans="1:16">
      <c r="A33" s="333"/>
      <c r="B33" s="735" t="s">
        <v>437</v>
      </c>
      <c r="C33" s="735"/>
      <c r="D33" s="735"/>
      <c r="E33" s="735"/>
      <c r="F33" s="735"/>
      <c r="G33" s="735"/>
      <c r="H33" s="735"/>
      <c r="I33" s="735"/>
      <c r="J33" s="735"/>
      <c r="K33" s="735"/>
      <c r="L33" s="735"/>
      <c r="M33" s="735"/>
      <c r="N33" s="735"/>
      <c r="O33" s="735"/>
      <c r="P33" s="334"/>
    </row>
    <row r="34" spans="1:16">
      <c r="A34" s="335"/>
      <c r="B34" s="736"/>
      <c r="C34" s="736"/>
      <c r="D34" s="736"/>
      <c r="E34" s="736"/>
      <c r="F34" s="736"/>
      <c r="G34" s="736"/>
      <c r="H34" s="736"/>
      <c r="I34" s="736"/>
      <c r="J34" s="736"/>
      <c r="K34" s="736"/>
      <c r="L34" s="736"/>
      <c r="M34" s="736"/>
      <c r="N34" s="736"/>
      <c r="O34" s="736"/>
      <c r="P34" s="358"/>
    </row>
    <row r="35" spans="1:16">
      <c r="A35" s="369"/>
      <c r="B35" s="371"/>
      <c r="C35" s="371"/>
      <c r="D35" s="371"/>
      <c r="E35" s="371"/>
      <c r="F35" s="371"/>
      <c r="G35" s="371"/>
      <c r="H35" s="371"/>
      <c r="I35" s="371"/>
      <c r="J35" s="371"/>
      <c r="K35" s="371"/>
      <c r="L35" s="371"/>
      <c r="M35" s="371"/>
      <c r="N35" s="371"/>
      <c r="O35" s="371"/>
      <c r="P35" s="373"/>
    </row>
    <row r="36" spans="1:16" ht="15.5">
      <c r="A36" s="369"/>
      <c r="B36" s="370" t="s">
        <v>413</v>
      </c>
      <c r="C36" s="371"/>
      <c r="D36" s="371"/>
      <c r="E36" s="371"/>
      <c r="F36" s="371"/>
      <c r="G36" s="372"/>
      <c r="H36" s="371"/>
      <c r="I36" s="371"/>
      <c r="J36" s="371"/>
      <c r="K36" s="371"/>
      <c r="L36" s="371"/>
      <c r="M36" s="371"/>
      <c r="N36" s="371"/>
      <c r="O36" s="371"/>
      <c r="P36" s="373"/>
    </row>
    <row r="37" spans="1:16">
      <c r="A37" s="369"/>
      <c r="B37" s="371"/>
      <c r="C37" s="371"/>
      <c r="D37" s="371"/>
      <c r="E37" s="371"/>
      <c r="F37" s="371"/>
      <c r="G37" s="371"/>
      <c r="H37" s="371"/>
      <c r="I37" s="371"/>
      <c r="J37" s="371"/>
      <c r="K37" s="374"/>
      <c r="L37" s="374"/>
      <c r="M37" s="374"/>
      <c r="N37" s="374"/>
      <c r="O37" s="374"/>
      <c r="P37" s="375"/>
    </row>
    <row r="38" spans="1:16" ht="18.75" customHeight="1">
      <c r="A38" s="339"/>
      <c r="B38" s="80" t="s">
        <v>415</v>
      </c>
      <c r="C38" s="80" t="s">
        <v>414</v>
      </c>
      <c r="D38" s="79"/>
      <c r="E38" s="734" t="s">
        <v>82</v>
      </c>
      <c r="F38" s="734"/>
      <c r="G38" s="734" t="s">
        <v>229</v>
      </c>
      <c r="H38" s="734"/>
      <c r="I38" s="734" t="s">
        <v>417</v>
      </c>
      <c r="J38" s="734"/>
      <c r="K38" s="734" t="s">
        <v>418</v>
      </c>
      <c r="L38" s="734"/>
      <c r="M38" s="79"/>
      <c r="N38" s="79"/>
      <c r="O38" s="79"/>
      <c r="P38" s="357"/>
    </row>
    <row r="39" spans="1:16" ht="48.75" customHeight="1">
      <c r="A39" s="331"/>
      <c r="B39" s="364" t="s">
        <v>210</v>
      </c>
      <c r="C39" s="727" t="s">
        <v>416</v>
      </c>
      <c r="D39" s="727"/>
      <c r="E39" s="728">
        <f>key!H6</f>
        <v>1600000</v>
      </c>
      <c r="F39" s="728"/>
      <c r="G39" s="728">
        <f>key!I6</f>
        <v>1100000</v>
      </c>
      <c r="H39" s="728"/>
      <c r="I39" s="728">
        <f>key!J6</f>
        <v>1700000</v>
      </c>
      <c r="J39" s="728"/>
      <c r="K39" s="728">
        <f>key!K6</f>
        <v>2700000</v>
      </c>
      <c r="L39" s="728"/>
      <c r="M39" s="79"/>
      <c r="N39" s="79"/>
      <c r="O39" s="79"/>
      <c r="P39" s="357"/>
    </row>
    <row r="40" spans="1:16" ht="30.75" customHeight="1">
      <c r="A40" s="331"/>
      <c r="B40" s="731" t="s">
        <v>206</v>
      </c>
      <c r="C40" s="365" t="s">
        <v>207</v>
      </c>
      <c r="D40" s="330"/>
      <c r="E40" s="729">
        <f>key!H7</f>
        <v>5400000</v>
      </c>
      <c r="F40" s="729"/>
      <c r="G40" s="729">
        <f>key!I7</f>
        <v>5500000</v>
      </c>
      <c r="H40" s="729"/>
      <c r="I40" s="729">
        <f>key!J7</f>
        <v>6400000</v>
      </c>
      <c r="J40" s="729"/>
      <c r="K40" s="729">
        <f>key!K7</f>
        <v>9500000</v>
      </c>
      <c r="L40" s="729"/>
      <c r="M40" s="330"/>
      <c r="N40" s="330"/>
      <c r="O40" s="330"/>
      <c r="P40" s="334"/>
    </row>
    <row r="41" spans="1:16" ht="30" customHeight="1">
      <c r="A41" s="335"/>
      <c r="B41" s="732"/>
      <c r="C41" s="365" t="s">
        <v>208</v>
      </c>
      <c r="D41" s="330"/>
      <c r="E41" s="733">
        <f>key!H8</f>
        <v>1500000</v>
      </c>
      <c r="F41" s="730"/>
      <c r="G41" s="730">
        <f>key!I8</f>
        <v>1800000</v>
      </c>
      <c r="H41" s="730"/>
      <c r="I41" s="730">
        <f>key!J8</f>
        <v>2200000</v>
      </c>
      <c r="J41" s="730"/>
      <c r="K41" s="730">
        <f>key!K8</f>
        <v>3200000</v>
      </c>
      <c r="L41" s="730"/>
      <c r="M41" s="336"/>
      <c r="N41" s="336"/>
      <c r="O41" s="336"/>
      <c r="P41" s="358"/>
    </row>
    <row r="42" spans="1:16">
      <c r="C42" s="4"/>
      <c r="D42" s="4"/>
      <c r="E42" s="4"/>
    </row>
  </sheetData>
  <sheetProtection algorithmName="SHA-512" hashValue="2bNNj1W68LhWkhOefY9ecOEdlL/ckIgpnRwlC0t4i3PDOOt2WeeZI9aFdDIG+Q24XJ8T0rvLzFAW0hQ63zMzNQ==" saltValue="Mh9DaSw8w+nKa5VCUvTcbw==" spinCount="100000" sheet="1" objects="1" scenarios="1"/>
  <customSheetViews>
    <customSheetView guid="{B75063BA-4717-43F8-8B16-CDCBE07E925A}" showPageBreaks="1">
      <selection activeCell="D19" sqref="D19"/>
    </customSheetView>
  </customSheetViews>
  <mergeCells count="34">
    <mergeCell ref="B33:O34"/>
    <mergeCell ref="E29:N29"/>
    <mergeCell ref="E31:M31"/>
    <mergeCell ref="B25:C25"/>
    <mergeCell ref="B27:D27"/>
    <mergeCell ref="B29:D29"/>
    <mergeCell ref="B31:D31"/>
    <mergeCell ref="E25:P25"/>
    <mergeCell ref="E27:P27"/>
    <mergeCell ref="G38:H38"/>
    <mergeCell ref="E38:F38"/>
    <mergeCell ref="K39:L39"/>
    <mergeCell ref="K40:L40"/>
    <mergeCell ref="K41:L41"/>
    <mergeCell ref="I41:J41"/>
    <mergeCell ref="K38:L38"/>
    <mergeCell ref="I39:J39"/>
    <mergeCell ref="I40:J40"/>
    <mergeCell ref="I38:J38"/>
    <mergeCell ref="C39:D39"/>
    <mergeCell ref="G39:H39"/>
    <mergeCell ref="G40:H40"/>
    <mergeCell ref="G41:H41"/>
    <mergeCell ref="B40:B41"/>
    <mergeCell ref="E39:F39"/>
    <mergeCell ref="E40:F40"/>
    <mergeCell ref="E41:F41"/>
    <mergeCell ref="A1:AA1"/>
    <mergeCell ref="B11:C11"/>
    <mergeCell ref="B13:C13"/>
    <mergeCell ref="B5:C5"/>
    <mergeCell ref="B17:C17"/>
    <mergeCell ref="E9:G9"/>
    <mergeCell ref="E13:F13"/>
  </mergeCells>
  <pageMargins left="0.70866141732283472" right="0.70866141732283472" top="0.78740157480314965" bottom="0.78740157480314965" header="0.31496062992125984" footer="0.31496062992125984"/>
  <pageSetup paperSize="9" scale="71" orientation="landscape" horizontalDpi="200" verticalDpi="200" r:id="rId1"/>
  <headerFooter>
    <oddHeader>&amp;L&amp;D&amp;C&amp;"+,Fett"&amp;14&amp;A&amp;R&amp;P7&amp;N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12E35-8BDD-4977-AF65-6A66138F3175}">
  <dimension ref="A1:M68"/>
  <sheetViews>
    <sheetView workbookViewId="0">
      <selection activeCell="P29" sqref="P29"/>
    </sheetView>
  </sheetViews>
  <sheetFormatPr baseColWidth="10" defaultRowHeight="14.5"/>
  <cols>
    <col min="4" max="4" width="16.453125" customWidth="1"/>
    <col min="6" max="6" width="20.453125" customWidth="1"/>
    <col min="7" max="7" width="14.453125" customWidth="1"/>
    <col min="8" max="9" width="13" bestFit="1" customWidth="1"/>
    <col min="10" max="10" width="17.453125" customWidth="1"/>
    <col min="11" max="11" width="19" customWidth="1"/>
  </cols>
  <sheetData>
    <row r="1" spans="1:13">
      <c r="A1" s="89" t="s">
        <v>217</v>
      </c>
      <c r="B1" s="89"/>
      <c r="C1" s="89"/>
      <c r="D1" s="89"/>
      <c r="E1" s="89"/>
      <c r="F1" s="89"/>
    </row>
    <row r="3" spans="1:13">
      <c r="B3" s="82" t="s">
        <v>198</v>
      </c>
      <c r="C3" s="70"/>
      <c r="D3" s="83"/>
      <c r="F3" s="8" t="s">
        <v>205</v>
      </c>
      <c r="M3" t="s">
        <v>210</v>
      </c>
    </row>
    <row r="4" spans="1:13" ht="14.9" customHeight="1">
      <c r="B4" s="31"/>
      <c r="D4" s="6"/>
      <c r="M4" t="s">
        <v>206</v>
      </c>
    </row>
    <row r="5" spans="1:13">
      <c r="B5" s="31" t="s">
        <v>230</v>
      </c>
      <c r="D5" s="6"/>
      <c r="F5" s="75" t="s">
        <v>209</v>
      </c>
      <c r="G5" s="79"/>
      <c r="H5" s="80" t="s">
        <v>82</v>
      </c>
      <c r="I5" s="80" t="s">
        <v>229</v>
      </c>
      <c r="J5" s="80" t="s">
        <v>224</v>
      </c>
      <c r="K5" s="81" t="s">
        <v>225</v>
      </c>
    </row>
    <row r="6" spans="1:13" ht="26.9" customHeight="1">
      <c r="B6" s="31" t="s">
        <v>226</v>
      </c>
      <c r="D6" s="6"/>
      <c r="F6" s="75" t="s">
        <v>210</v>
      </c>
      <c r="G6" s="76" t="s">
        <v>211</v>
      </c>
      <c r="H6" s="77">
        <v>1600000</v>
      </c>
      <c r="I6" s="77">
        <v>1100000</v>
      </c>
      <c r="J6" s="77">
        <v>1700000</v>
      </c>
      <c r="K6" s="78">
        <v>2700000</v>
      </c>
      <c r="M6" t="s">
        <v>207</v>
      </c>
    </row>
    <row r="7" spans="1:13">
      <c r="B7" s="31" t="s">
        <v>228</v>
      </c>
      <c r="D7" s="6"/>
      <c r="F7" s="739" t="s">
        <v>206</v>
      </c>
      <c r="G7" s="70" t="s">
        <v>207</v>
      </c>
      <c r="H7" s="71">
        <v>5400000</v>
      </c>
      <c r="I7" s="71">
        <v>5500000</v>
      </c>
      <c r="J7" s="71">
        <v>6400000</v>
      </c>
      <c r="K7" s="72">
        <v>9500000</v>
      </c>
      <c r="M7" t="s">
        <v>208</v>
      </c>
    </row>
    <row r="8" spans="1:13">
      <c r="B8" s="84" t="s">
        <v>227</v>
      </c>
      <c r="C8" s="1"/>
      <c r="D8" s="85"/>
      <c r="F8" s="740"/>
      <c r="G8" s="1" t="s">
        <v>208</v>
      </c>
      <c r="H8" s="73">
        <v>1500000</v>
      </c>
      <c r="I8" s="73">
        <v>1800000</v>
      </c>
      <c r="J8" s="73">
        <v>2200000</v>
      </c>
      <c r="K8" s="74">
        <v>3200000</v>
      </c>
    </row>
    <row r="10" spans="1:13">
      <c r="B10" s="82" t="s">
        <v>212</v>
      </c>
      <c r="C10" s="70"/>
      <c r="D10" s="70"/>
      <c r="E10" s="70"/>
      <c r="F10" s="70"/>
      <c r="G10" s="70"/>
      <c r="H10" s="70"/>
      <c r="I10" s="70"/>
      <c r="J10" s="70"/>
      <c r="K10" s="70"/>
      <c r="L10" s="70"/>
      <c r="M10" s="83"/>
    </row>
    <row r="11" spans="1:13">
      <c r="B11" s="31"/>
      <c r="M11" s="6"/>
    </row>
    <row r="12" spans="1:13">
      <c r="B12" s="86" t="s">
        <v>199</v>
      </c>
      <c r="C12" s="8"/>
      <c r="D12" s="8"/>
      <c r="E12" s="8" t="s">
        <v>200</v>
      </c>
      <c r="F12" s="8"/>
      <c r="M12" s="6"/>
    </row>
    <row r="13" spans="1:13">
      <c r="B13" s="31" t="s">
        <v>201</v>
      </c>
      <c r="E13" t="s">
        <v>202</v>
      </c>
      <c r="M13" s="6"/>
    </row>
    <row r="14" spans="1:13">
      <c r="B14" s="31" t="s">
        <v>226</v>
      </c>
      <c r="E14" t="s">
        <v>203</v>
      </c>
      <c r="M14" s="6"/>
    </row>
    <row r="15" spans="1:13">
      <c r="B15" s="31" t="s">
        <v>228</v>
      </c>
      <c r="E15" t="s">
        <v>204</v>
      </c>
      <c r="M15" s="6"/>
    </row>
    <row r="16" spans="1:13">
      <c r="B16" s="31" t="s">
        <v>227</v>
      </c>
      <c r="E16" t="s">
        <v>222</v>
      </c>
      <c r="M16" s="6"/>
    </row>
    <row r="17" spans="2:13">
      <c r="B17" s="84"/>
      <c r="C17" s="1"/>
      <c r="D17" s="1"/>
      <c r="E17" s="1"/>
      <c r="F17" s="1"/>
      <c r="G17" s="1"/>
      <c r="H17" s="1"/>
      <c r="I17" s="1"/>
      <c r="J17" s="1"/>
      <c r="K17" s="1"/>
      <c r="L17" s="1"/>
      <c r="M17" s="85"/>
    </row>
    <row r="19" spans="2:13">
      <c r="E19" t="s">
        <v>213</v>
      </c>
    </row>
    <row r="20" spans="2:13">
      <c r="E20" t="s">
        <v>214</v>
      </c>
    </row>
    <row r="23" spans="2:13">
      <c r="B23" s="8" t="s">
        <v>232</v>
      </c>
    </row>
    <row r="24" spans="2:13">
      <c r="D24" s="69" t="s">
        <v>241</v>
      </c>
      <c r="F24" s="8" t="s">
        <v>242</v>
      </c>
      <c r="H24" s="8" t="s">
        <v>247</v>
      </c>
      <c r="J24" s="8" t="s">
        <v>292</v>
      </c>
      <c r="L24" s="8" t="s">
        <v>326</v>
      </c>
    </row>
    <row r="25" spans="2:13">
      <c r="B25" t="s">
        <v>105</v>
      </c>
      <c r="D25" t="s">
        <v>237</v>
      </c>
      <c r="F25" t="s">
        <v>243</v>
      </c>
      <c r="H25" t="s">
        <v>287</v>
      </c>
      <c r="J25" t="s">
        <v>293</v>
      </c>
      <c r="L25" t="s">
        <v>327</v>
      </c>
    </row>
    <row r="26" spans="2:13">
      <c r="B26" t="s">
        <v>233</v>
      </c>
      <c r="D26" t="s">
        <v>238</v>
      </c>
      <c r="F26" t="s">
        <v>244</v>
      </c>
      <c r="H26" t="s">
        <v>261</v>
      </c>
      <c r="J26" t="s">
        <v>295</v>
      </c>
      <c r="L26" t="s">
        <v>328</v>
      </c>
    </row>
    <row r="27" spans="2:13">
      <c r="D27" t="s">
        <v>239</v>
      </c>
      <c r="F27" t="s">
        <v>245</v>
      </c>
      <c r="H27" t="s">
        <v>288</v>
      </c>
      <c r="J27" t="s">
        <v>294</v>
      </c>
      <c r="L27" t="s">
        <v>443</v>
      </c>
    </row>
    <row r="28" spans="2:13">
      <c r="D28" t="s">
        <v>439</v>
      </c>
      <c r="F28" t="s">
        <v>246</v>
      </c>
      <c r="H28" t="s">
        <v>249</v>
      </c>
      <c r="J28" t="s">
        <v>296</v>
      </c>
    </row>
    <row r="29" spans="2:13">
      <c r="D29" t="s">
        <v>240</v>
      </c>
      <c r="H29" t="s">
        <v>289</v>
      </c>
      <c r="J29" t="s">
        <v>297</v>
      </c>
    </row>
    <row r="30" spans="2:13">
      <c r="H30" t="s">
        <v>274</v>
      </c>
      <c r="J30" t="s">
        <v>298</v>
      </c>
    </row>
    <row r="31" spans="2:13">
      <c r="H31" t="s">
        <v>270</v>
      </c>
      <c r="J31" t="s">
        <v>299</v>
      </c>
    </row>
    <row r="32" spans="2:13">
      <c r="B32" t="s">
        <v>381</v>
      </c>
      <c r="D32" t="s">
        <v>381</v>
      </c>
      <c r="F32" t="s">
        <v>381</v>
      </c>
      <c r="H32" t="s">
        <v>275</v>
      </c>
      <c r="J32" t="s">
        <v>300</v>
      </c>
    </row>
    <row r="33" spans="2:10">
      <c r="B33">
        <v>1</v>
      </c>
      <c r="D33">
        <v>1</v>
      </c>
      <c r="F33">
        <v>1</v>
      </c>
      <c r="H33" t="s">
        <v>271</v>
      </c>
      <c r="J33" t="s">
        <v>301</v>
      </c>
    </row>
    <row r="34" spans="2:10">
      <c r="B34">
        <v>3</v>
      </c>
      <c r="D34">
        <v>2</v>
      </c>
      <c r="F34">
        <v>3</v>
      </c>
      <c r="H34" t="s">
        <v>250</v>
      </c>
      <c r="J34" t="s">
        <v>302</v>
      </c>
    </row>
    <row r="35" spans="2:10">
      <c r="B35">
        <v>5</v>
      </c>
      <c r="D35">
        <v>3</v>
      </c>
      <c r="F35">
        <v>4</v>
      </c>
      <c r="H35" t="s">
        <v>273</v>
      </c>
      <c r="J35" t="s">
        <v>303</v>
      </c>
    </row>
    <row r="36" spans="2:10">
      <c r="D36">
        <v>4</v>
      </c>
      <c r="F36">
        <v>5</v>
      </c>
      <c r="H36" t="s">
        <v>272</v>
      </c>
      <c r="J36" t="s">
        <v>304</v>
      </c>
    </row>
    <row r="37" spans="2:10">
      <c r="D37">
        <v>5</v>
      </c>
      <c r="H37" t="s">
        <v>251</v>
      </c>
      <c r="J37" t="s">
        <v>305</v>
      </c>
    </row>
    <row r="38" spans="2:10">
      <c r="H38" t="s">
        <v>265</v>
      </c>
      <c r="J38" t="s">
        <v>306</v>
      </c>
    </row>
    <row r="39" spans="2:10">
      <c r="B39" t="s">
        <v>382</v>
      </c>
      <c r="H39" t="s">
        <v>259</v>
      </c>
      <c r="J39" t="s">
        <v>307</v>
      </c>
    </row>
    <row r="40" spans="2:10">
      <c r="B40">
        <v>0</v>
      </c>
      <c r="H40" t="s">
        <v>255</v>
      </c>
      <c r="J40" t="s">
        <v>314</v>
      </c>
    </row>
    <row r="41" spans="2:10">
      <c r="B41">
        <v>1</v>
      </c>
      <c r="H41" t="s">
        <v>254</v>
      </c>
      <c r="J41" t="s">
        <v>308</v>
      </c>
    </row>
    <row r="42" spans="2:10">
      <c r="H42" t="s">
        <v>256</v>
      </c>
      <c r="J42" t="s">
        <v>309</v>
      </c>
    </row>
    <row r="43" spans="2:10">
      <c r="H43" t="s">
        <v>263</v>
      </c>
      <c r="J43" t="s">
        <v>310</v>
      </c>
    </row>
    <row r="44" spans="2:10">
      <c r="H44" t="s">
        <v>262</v>
      </c>
      <c r="J44" t="s">
        <v>312</v>
      </c>
    </row>
    <row r="45" spans="2:10">
      <c r="H45" t="s">
        <v>280</v>
      </c>
      <c r="J45" t="s">
        <v>311</v>
      </c>
    </row>
    <row r="46" spans="2:10">
      <c r="H46" t="s">
        <v>281</v>
      </c>
      <c r="J46" t="s">
        <v>313</v>
      </c>
    </row>
    <row r="47" spans="2:10">
      <c r="H47" t="s">
        <v>252</v>
      </c>
    </row>
    <row r="48" spans="2:10">
      <c r="H48" t="s">
        <v>258</v>
      </c>
    </row>
    <row r="49" spans="8:8">
      <c r="H49" t="s">
        <v>266</v>
      </c>
    </row>
    <row r="50" spans="8:8">
      <c r="H50" t="s">
        <v>267</v>
      </c>
    </row>
    <row r="51" spans="8:8">
      <c r="H51" t="s">
        <v>276</v>
      </c>
    </row>
    <row r="52" spans="8:8">
      <c r="H52" t="s">
        <v>260</v>
      </c>
    </row>
    <row r="53" spans="8:8">
      <c r="H53" t="s">
        <v>269</v>
      </c>
    </row>
    <row r="54" spans="8:8">
      <c r="H54" t="s">
        <v>264</v>
      </c>
    </row>
    <row r="55" spans="8:8">
      <c r="H55" t="s">
        <v>290</v>
      </c>
    </row>
    <row r="56" spans="8:8">
      <c r="H56" t="s">
        <v>253</v>
      </c>
    </row>
    <row r="57" spans="8:8">
      <c r="H57" t="s">
        <v>283</v>
      </c>
    </row>
    <row r="58" spans="8:8">
      <c r="H58" t="s">
        <v>268</v>
      </c>
    </row>
    <row r="59" spans="8:8">
      <c r="H59" t="s">
        <v>277</v>
      </c>
    </row>
    <row r="60" spans="8:8">
      <c r="H60" t="s">
        <v>257</v>
      </c>
    </row>
    <row r="61" spans="8:8">
      <c r="H61" t="s">
        <v>278</v>
      </c>
    </row>
    <row r="62" spans="8:8">
      <c r="H62" t="s">
        <v>291</v>
      </c>
    </row>
    <row r="63" spans="8:8">
      <c r="H63" t="s">
        <v>248</v>
      </c>
    </row>
    <row r="64" spans="8:8">
      <c r="H64" t="s">
        <v>284</v>
      </c>
    </row>
    <row r="65" spans="8:8">
      <c r="H65" t="s">
        <v>279</v>
      </c>
    </row>
    <row r="66" spans="8:8">
      <c r="H66" t="s">
        <v>286</v>
      </c>
    </row>
    <row r="67" spans="8:8">
      <c r="H67" t="s">
        <v>282</v>
      </c>
    </row>
    <row r="68" spans="8:8">
      <c r="H68" t="s">
        <v>285</v>
      </c>
    </row>
  </sheetData>
  <sheetProtection algorithmName="SHA-512" hashValue="YeeUsf1a7Mna5lh6QzGe2MUDoz3R6YfxEi3GzJ78QdRFYDgw9k6ev5R7fH5qf0EkLywXpvdtGxrsfhJP7qJsAw==" saltValue="CqnTuuCpJ0yVYa6R8s8yYw==" spinCount="100000" sheet="1" objects="1" scenarios="1"/>
  <sortState xmlns:xlrd2="http://schemas.microsoft.com/office/spreadsheetml/2017/richdata2" ref="J25:J46">
    <sortCondition ref="J25:J46"/>
  </sortState>
  <customSheetViews>
    <customSheetView guid="{B75063BA-4717-43F8-8B16-CDCBE07E925A}" showPageBreaks="1">
      <selection activeCell="L13" sqref="L13"/>
    </customSheetView>
  </customSheetViews>
  <mergeCells count="1">
    <mergeCell ref="F7:F8"/>
  </mergeCells>
  <pageMargins left="0.7" right="0.7" top="0.78740157499999996" bottom="0.78740157499999996" header="0.3" footer="0.3"/>
  <pageSetup paperSize="9"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091BF-BFA3-42FF-9B64-37A1DB89321A}">
  <dimension ref="A1:A11"/>
  <sheetViews>
    <sheetView workbookViewId="0"/>
  </sheetViews>
  <sheetFormatPr baseColWidth="10" defaultRowHeight="14.5"/>
  <sheetData>
    <row r="1" spans="1:1">
      <c r="A1" s="8" t="s">
        <v>70</v>
      </c>
    </row>
    <row r="3" spans="1:1">
      <c r="A3" t="s">
        <v>71</v>
      </c>
    </row>
    <row r="4" spans="1:1">
      <c r="A4" t="s">
        <v>72</v>
      </c>
    </row>
    <row r="7" spans="1:1">
      <c r="A7" t="s">
        <v>73</v>
      </c>
    </row>
    <row r="9" spans="1:1">
      <c r="A9" t="s">
        <v>74</v>
      </c>
    </row>
    <row r="11" spans="1:1">
      <c r="A11" t="s">
        <v>79</v>
      </c>
    </row>
  </sheetData>
  <customSheetViews>
    <customSheetView guid="{B75063BA-4717-43F8-8B16-CDCBE07E925A}" state="hidden">
      <selection activeCell="A11" sqref="A11"/>
    </customSheetView>
  </customSheetView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CABA1-4CD3-4988-9DF2-910ED5778CE0}">
  <sheetPr>
    <pageSetUpPr autoPageBreaks="0"/>
  </sheetPr>
  <dimension ref="A1:BC228"/>
  <sheetViews>
    <sheetView zoomScale="85" zoomScaleNormal="85" workbookViewId="0">
      <pane ySplit="7" topLeftCell="A23" activePane="bottomLeft" state="frozen"/>
      <selection pane="bottomLeft" activeCell="G48" sqref="G48"/>
    </sheetView>
  </sheetViews>
  <sheetFormatPr baseColWidth="10" defaultRowHeight="14.5"/>
  <cols>
    <col min="1" max="1" width="5.54296875" style="112" customWidth="1"/>
    <col min="2" max="2" width="7.453125" style="112" customWidth="1"/>
    <col min="3" max="4" width="8.453125" style="112" customWidth="1"/>
    <col min="5" max="5" width="9.453125" style="192" customWidth="1"/>
    <col min="6" max="6" width="5.54296875" style="6" customWidth="1"/>
    <col min="7" max="7" width="10.453125" customWidth="1"/>
    <col min="8" max="8" width="6" style="6" customWidth="1"/>
    <col min="9" max="9" width="9" style="192" customWidth="1"/>
    <col min="10" max="10" width="5.453125" style="6" customWidth="1"/>
    <col min="11" max="11" width="8.453125" customWidth="1"/>
    <col min="12" max="12" width="5.453125" customWidth="1"/>
    <col min="13" max="13" width="8.453125" customWidth="1"/>
    <col min="14" max="14" width="4.54296875" customWidth="1"/>
    <col min="15" max="15" width="8.54296875" customWidth="1"/>
    <col min="16" max="16" width="5.453125" customWidth="1"/>
    <col min="17" max="17" width="8.54296875" customWidth="1"/>
    <col min="18" max="18" width="4.54296875" customWidth="1"/>
    <col min="19" max="19" width="8.453125" customWidth="1"/>
    <col min="20" max="20" width="4.453125" customWidth="1"/>
    <col min="21" max="21" width="8.54296875" customWidth="1"/>
    <col min="22" max="22" width="4.453125" customWidth="1"/>
    <col min="23" max="23" width="9.453125" customWidth="1"/>
    <col min="24" max="24" width="4.453125" customWidth="1"/>
    <col min="25" max="26" width="11.54296875" style="112"/>
    <col min="27" max="27" width="7.453125" style="192" customWidth="1"/>
    <col min="28" max="28" width="13.453125" bestFit="1" customWidth="1"/>
    <col min="29" max="29" width="10.453125" customWidth="1"/>
    <col min="30" max="30" width="37" customWidth="1"/>
  </cols>
  <sheetData>
    <row r="1" spans="1:34" s="336" customFormat="1" ht="22.4" customHeight="1" thickBot="1">
      <c r="A1" s="410" t="str">
        <f>IF(Stammdaten!C5&lt;&gt;"", Stammdaten!C5,"")</f>
        <v>Revitalisierung am Gewässer XY</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row>
    <row r="2" spans="1:34" ht="23.9" customHeight="1">
      <c r="A2" s="411" t="s">
        <v>100</v>
      </c>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3"/>
    </row>
    <row r="3" spans="1:34" ht="15" thickBot="1">
      <c r="A3" s="414"/>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6"/>
      <c r="AC3" s="8" t="s">
        <v>156</v>
      </c>
    </row>
    <row r="4" spans="1:34">
      <c r="A4" s="94"/>
      <c r="B4" s="94"/>
      <c r="C4" s="94"/>
      <c r="D4" s="94"/>
      <c r="E4" s="125"/>
      <c r="F4" s="101"/>
      <c r="G4" s="125"/>
      <c r="H4" s="101"/>
      <c r="I4" s="125"/>
      <c r="J4" s="101"/>
      <c r="K4" s="125"/>
      <c r="L4" s="101"/>
      <c r="M4" s="125"/>
      <c r="N4" s="101"/>
      <c r="O4" s="125"/>
      <c r="P4" s="101"/>
      <c r="Q4" s="125"/>
      <c r="R4" s="101"/>
      <c r="S4" s="125"/>
      <c r="T4" s="101"/>
      <c r="U4" s="125"/>
      <c r="V4" s="101"/>
      <c r="W4" s="125"/>
      <c r="X4" s="101"/>
      <c r="Y4" s="423" t="s">
        <v>154</v>
      </c>
      <c r="Z4" s="424"/>
      <c r="AA4" s="425"/>
    </row>
    <row r="5" spans="1:34" ht="15.65" customHeight="1">
      <c r="A5" s="126"/>
      <c r="B5" s="126" t="s">
        <v>153</v>
      </c>
      <c r="C5" s="111"/>
      <c r="D5" s="111"/>
      <c r="E5" s="127">
        <v>1</v>
      </c>
      <c r="F5" s="2"/>
      <c r="G5" s="127">
        <v>2</v>
      </c>
      <c r="H5" s="2"/>
      <c r="I5" s="127">
        <v>3</v>
      </c>
      <c r="J5" s="2"/>
      <c r="K5" s="127">
        <v>4</v>
      </c>
      <c r="L5" s="2"/>
      <c r="M5" s="127">
        <v>5</v>
      </c>
      <c r="N5" s="2"/>
      <c r="O5" s="127">
        <v>6</v>
      </c>
      <c r="P5" s="2"/>
      <c r="Q5" s="127">
        <v>7</v>
      </c>
      <c r="R5" s="2"/>
      <c r="S5" s="127">
        <v>8</v>
      </c>
      <c r="T5" s="2"/>
      <c r="U5" s="127">
        <v>9</v>
      </c>
      <c r="V5" s="2"/>
      <c r="W5" s="127">
        <v>10</v>
      </c>
      <c r="X5" s="2"/>
      <c r="Y5" s="426"/>
      <c r="Z5" s="427"/>
      <c r="AA5" s="428"/>
      <c r="AC5" s="110"/>
      <c r="AD5" t="s">
        <v>220</v>
      </c>
    </row>
    <row r="6" spans="1:34" ht="14.9" customHeight="1">
      <c r="A6" s="122"/>
      <c r="B6" s="122"/>
      <c r="C6" s="111"/>
      <c r="D6" s="111"/>
      <c r="E6" s="128"/>
      <c r="F6" s="2"/>
      <c r="G6" s="128"/>
      <c r="H6" s="2"/>
      <c r="I6" s="128"/>
      <c r="J6" s="2"/>
      <c r="K6" s="128"/>
      <c r="L6" s="2"/>
      <c r="M6" s="128"/>
      <c r="N6" s="2"/>
      <c r="O6" s="128"/>
      <c r="P6" s="2"/>
      <c r="Q6" s="128"/>
      <c r="R6" s="2"/>
      <c r="S6" s="128"/>
      <c r="T6" s="2"/>
      <c r="U6" s="128"/>
      <c r="V6" s="2"/>
      <c r="W6" s="128"/>
      <c r="X6" s="2"/>
      <c r="Y6" s="426"/>
      <c r="Z6" s="427"/>
      <c r="AA6" s="428"/>
    </row>
    <row r="7" spans="1:34" ht="14.9" customHeight="1">
      <c r="B7" s="111" t="s">
        <v>442</v>
      </c>
      <c r="C7" s="111"/>
      <c r="D7" s="111"/>
      <c r="E7" s="55">
        <v>2025</v>
      </c>
      <c r="F7" s="2"/>
      <c r="G7" s="55">
        <v>2026</v>
      </c>
      <c r="H7" s="2"/>
      <c r="I7" s="55"/>
      <c r="J7" s="2"/>
      <c r="K7" s="55"/>
      <c r="L7" s="2"/>
      <c r="M7" s="55"/>
      <c r="N7" s="2"/>
      <c r="O7" s="55"/>
      <c r="P7" s="2"/>
      <c r="Q7" s="55"/>
      <c r="R7" s="2"/>
      <c r="S7" s="55"/>
      <c r="T7" s="2"/>
      <c r="U7" s="55"/>
      <c r="V7" s="2"/>
      <c r="W7" s="55"/>
      <c r="X7" s="2"/>
      <c r="Y7" s="129"/>
      <c r="Z7" s="111"/>
      <c r="AA7" s="130"/>
      <c r="AC7" s="131"/>
      <c r="AD7" s="280" t="s">
        <v>386</v>
      </c>
      <c r="AE7" s="280"/>
      <c r="AF7" s="280"/>
      <c r="AG7" s="280"/>
      <c r="AH7" s="280"/>
    </row>
    <row r="8" spans="1:34">
      <c r="A8" s="111"/>
      <c r="B8" s="111"/>
      <c r="C8" s="111"/>
      <c r="D8" s="111"/>
      <c r="E8" s="132"/>
      <c r="F8" s="2"/>
      <c r="G8" s="132"/>
      <c r="H8" s="2"/>
      <c r="I8" s="132"/>
      <c r="J8" s="2"/>
      <c r="K8" s="132"/>
      <c r="L8" s="2"/>
      <c r="M8" s="132"/>
      <c r="N8" s="2"/>
      <c r="O8" s="132"/>
      <c r="P8" s="2"/>
      <c r="Q8" s="132"/>
      <c r="R8" s="2"/>
      <c r="S8" s="132"/>
      <c r="T8" s="2"/>
      <c r="U8" s="132"/>
      <c r="V8" s="2"/>
      <c r="W8" s="132"/>
      <c r="X8" s="2"/>
      <c r="Y8" s="129"/>
      <c r="Z8" s="111"/>
      <c r="AA8" s="130"/>
      <c r="AD8" s="280"/>
      <c r="AE8" s="280"/>
      <c r="AF8" s="280"/>
      <c r="AG8" s="280"/>
      <c r="AH8" s="280"/>
    </row>
    <row r="9" spans="1:34">
      <c r="B9" s="111" t="s">
        <v>27</v>
      </c>
      <c r="C9" s="111"/>
      <c r="D9" s="111"/>
      <c r="E9" s="55">
        <v>295</v>
      </c>
      <c r="F9" s="2"/>
      <c r="G9" s="55">
        <v>175</v>
      </c>
      <c r="H9" s="2"/>
      <c r="I9" s="55"/>
      <c r="J9" s="2"/>
      <c r="K9" s="55"/>
      <c r="L9" s="2"/>
      <c r="M9" s="55"/>
      <c r="N9" s="2"/>
      <c r="O9" s="55"/>
      <c r="P9" s="2"/>
      <c r="Q9" s="55"/>
      <c r="R9" s="2"/>
      <c r="S9" s="55"/>
      <c r="T9" s="2"/>
      <c r="U9" s="55"/>
      <c r="V9" s="2"/>
      <c r="W9" s="55"/>
      <c r="X9" s="2"/>
      <c r="Y9" s="129"/>
      <c r="Z9" s="111"/>
      <c r="AA9" s="130"/>
      <c r="AD9" s="280"/>
      <c r="AE9" s="280"/>
      <c r="AF9" s="280"/>
      <c r="AG9" s="280"/>
      <c r="AH9" s="280"/>
    </row>
    <row r="10" spans="1:34">
      <c r="A10" s="122"/>
      <c r="B10" s="122"/>
      <c r="C10" s="111"/>
      <c r="D10" s="111"/>
      <c r="E10" s="128"/>
      <c r="F10" s="2"/>
      <c r="G10" s="128"/>
      <c r="H10" s="2"/>
      <c r="I10" s="128"/>
      <c r="J10" s="2"/>
      <c r="K10" s="128"/>
      <c r="L10" s="2"/>
      <c r="M10" s="128"/>
      <c r="N10" s="2"/>
      <c r="O10" s="128"/>
      <c r="P10" s="2"/>
      <c r="Q10" s="128"/>
      <c r="R10" s="2"/>
      <c r="S10" s="128"/>
      <c r="T10" s="2"/>
      <c r="U10" s="128"/>
      <c r="V10" s="2"/>
      <c r="W10" s="128"/>
      <c r="X10" s="2"/>
      <c r="Y10" s="129"/>
      <c r="Z10" s="111"/>
      <c r="AA10" s="130"/>
    </row>
    <row r="11" spans="1:34" ht="14.9" customHeight="1">
      <c r="A11" s="133"/>
      <c r="B11" s="134"/>
      <c r="C11" s="134"/>
      <c r="D11" s="134"/>
      <c r="E11" s="135"/>
      <c r="F11" s="4"/>
      <c r="G11" s="135"/>
      <c r="H11" s="4"/>
      <c r="I11" s="135"/>
      <c r="J11" s="4"/>
      <c r="K11" s="135"/>
      <c r="L11" s="4"/>
      <c r="M11" s="135"/>
      <c r="N11" s="4"/>
      <c r="O11" s="135"/>
      <c r="P11" s="4"/>
      <c r="Q11" s="135"/>
      <c r="R11" s="4"/>
      <c r="S11" s="135"/>
      <c r="T11" s="4"/>
      <c r="U11" s="135"/>
      <c r="V11" s="4"/>
      <c r="W11" s="135"/>
      <c r="X11" s="4"/>
      <c r="Y11" s="136"/>
      <c r="Z11" s="134"/>
      <c r="AA11" s="137"/>
    </row>
    <row r="12" spans="1:34" ht="13.4" customHeight="1">
      <c r="A12" s="138"/>
      <c r="B12" s="111" t="s">
        <v>12</v>
      </c>
      <c r="C12" s="111"/>
      <c r="D12" s="111"/>
      <c r="E12" s="58">
        <v>2</v>
      </c>
      <c r="F12" s="2"/>
      <c r="G12" s="58">
        <v>6</v>
      </c>
      <c r="H12" s="2"/>
      <c r="I12" s="58"/>
      <c r="J12" s="2"/>
      <c r="K12" s="58"/>
      <c r="L12" s="2"/>
      <c r="M12" s="58"/>
      <c r="N12" s="2"/>
      <c r="O12" s="58"/>
      <c r="P12" s="2"/>
      <c r="Q12" s="58"/>
      <c r="R12" s="2"/>
      <c r="S12" s="58"/>
      <c r="T12" s="2"/>
      <c r="U12" s="58"/>
      <c r="V12" s="2"/>
      <c r="W12" s="58"/>
      <c r="X12" s="2"/>
      <c r="Y12" s="129" t="s">
        <v>12</v>
      </c>
      <c r="Z12" s="111"/>
      <c r="AA12" s="139">
        <f>SUM((E9*E12),(G9*G12),(I9*I12),(K9*K12),(M9*M12),(O9*O12),(Q9*Q12),(S9*S12),(U9*U12),(W9*W12))/SUM(IF(ISNUMBER(E12),$E$9,0),IF(ISNUMBER(G12),$G$9,0),IF(ISNUMBER(I12),$I$9,0),IF(ISNUMBER(K12),$K$9,0),IF(ISNUMBER(M12),$M$9,0),IF(ISNUMBER(O12),$O$9,0),IF(ISNUMBER(Q12),$Q$9,0),IF(ISNUMBER(S12),$S$9,0),IF(ISNUMBER(U12),$U$9,0),IF(ISNUMBER(W12),$W$9,0))</f>
        <v>3.4893617021276597</v>
      </c>
    </row>
    <row r="13" spans="1:34">
      <c r="A13" s="140"/>
      <c r="B13" s="111"/>
      <c r="C13" s="111"/>
      <c r="D13" s="111"/>
      <c r="E13" s="141"/>
      <c r="F13" s="2"/>
      <c r="G13" s="141"/>
      <c r="H13" s="2"/>
      <c r="I13" s="141"/>
      <c r="J13" s="2"/>
      <c r="K13" s="141"/>
      <c r="L13" s="2"/>
      <c r="M13" s="141"/>
      <c r="N13" s="2"/>
      <c r="O13" s="141"/>
      <c r="P13" s="2"/>
      <c r="Q13" s="141"/>
      <c r="R13" s="2"/>
      <c r="S13" s="141"/>
      <c r="T13" s="2"/>
      <c r="U13" s="141"/>
      <c r="V13" s="2"/>
      <c r="W13" s="141"/>
      <c r="X13" s="2"/>
      <c r="Y13" s="129"/>
      <c r="Z13" s="111"/>
      <c r="AA13" s="139"/>
    </row>
    <row r="14" spans="1:34">
      <c r="A14" s="140"/>
      <c r="B14" s="111" t="s">
        <v>13</v>
      </c>
      <c r="C14" s="111"/>
      <c r="D14" s="111"/>
      <c r="E14" s="59"/>
      <c r="F14" s="2"/>
      <c r="G14" s="59">
        <v>5</v>
      </c>
      <c r="H14" s="2"/>
      <c r="I14" s="59"/>
      <c r="J14" s="2"/>
      <c r="K14" s="59"/>
      <c r="L14" s="2"/>
      <c r="M14" s="59"/>
      <c r="N14" s="2"/>
      <c r="O14" s="59"/>
      <c r="P14" s="2"/>
      <c r="Q14" s="59"/>
      <c r="R14" s="2"/>
      <c r="S14" s="59"/>
      <c r="T14" s="2"/>
      <c r="U14" s="59"/>
      <c r="V14" s="2"/>
      <c r="W14" s="59"/>
      <c r="X14" s="2"/>
      <c r="Y14" s="129" t="s">
        <v>13</v>
      </c>
      <c r="Z14" s="111"/>
      <c r="AA14" s="142">
        <f>SUM((E9*E14),(G9*G14),(I9*I14),(K9*K14),(M9*M14),(O9*O14),(Q9*Q14),(S9*S14),(U9*U14),(W9*W14))/SUM(IF(ISNUMBER(E14),$E$9,0),IF(ISNUMBER(G14),$G$9,0),IF(ISNUMBER(I14),$I$9,0),IF(ISNUMBER(K14),$K$9,0),IF(ISNUMBER(M14),$M$9,0),IF(ISNUMBER(O14),$O$9,0),IF(ISNUMBER(Q14),$Q$9,0),IF(ISNUMBER(S14),$S$9,0),IF(ISNUMBER(U14),$U$9,0),IF(ISNUMBER(W14),$W$9,0))</f>
        <v>5</v>
      </c>
    </row>
    <row r="15" spans="1:34">
      <c r="A15" s="143"/>
      <c r="B15" s="111"/>
      <c r="C15" s="111"/>
      <c r="D15" s="111"/>
      <c r="E15" s="144"/>
      <c r="F15" s="2"/>
      <c r="G15" s="144"/>
      <c r="H15" s="2"/>
      <c r="I15" s="144"/>
      <c r="J15" s="2"/>
      <c r="K15" s="144"/>
      <c r="L15" s="2"/>
      <c r="M15" s="144"/>
      <c r="N15" s="2"/>
      <c r="O15" s="144"/>
      <c r="P15" s="2"/>
      <c r="Q15" s="144"/>
      <c r="R15" s="2"/>
      <c r="S15" s="144"/>
      <c r="T15" s="2"/>
      <c r="U15" s="144"/>
      <c r="V15" s="2"/>
      <c r="W15" s="144"/>
      <c r="X15" s="2"/>
      <c r="Y15" s="129"/>
      <c r="Z15" s="111"/>
      <c r="AA15" s="142"/>
    </row>
    <row r="16" spans="1:34" ht="15.5">
      <c r="A16" s="143"/>
      <c r="B16" s="145" t="s">
        <v>4</v>
      </c>
      <c r="C16" s="145"/>
      <c r="D16" s="145"/>
      <c r="E16" s="146">
        <f>IF((E14+E12)&gt;0,AVERAGE(E12,E14),"")</f>
        <v>2</v>
      </c>
      <c r="F16" s="3"/>
      <c r="G16" s="146">
        <f>IF((G14+G12)&gt;0,AVERAGE(G12,G14),"")</f>
        <v>5.5</v>
      </c>
      <c r="H16" s="3"/>
      <c r="I16" s="146" t="str">
        <f>IF((I14+I12)&gt;0,AVERAGE(I12,I14),"")</f>
        <v/>
      </c>
      <c r="J16" s="3"/>
      <c r="K16" s="146" t="str">
        <f>IF((K14+K12)&gt;0,AVERAGE(K12,K14),"")</f>
        <v/>
      </c>
      <c r="L16" s="3"/>
      <c r="M16" s="146" t="str">
        <f>IF((M14+M12)&gt;0,AVERAGE(M12,M14),"")</f>
        <v/>
      </c>
      <c r="N16" s="3"/>
      <c r="O16" s="146" t="str">
        <f>IF((O14+O12)&gt;0,AVERAGE(O12,O14),"")</f>
        <v/>
      </c>
      <c r="P16" s="3"/>
      <c r="Q16" s="146" t="str">
        <f>IF((Q14+Q12)&gt;0,AVERAGE(Q12,Q14),"")</f>
        <v/>
      </c>
      <c r="R16" s="3"/>
      <c r="S16" s="146" t="str">
        <f>IF((S14+S12)&gt;0,AVERAGE(S12,S14),"")</f>
        <v/>
      </c>
      <c r="T16" s="3"/>
      <c r="U16" s="146" t="str">
        <f>IF((U14+U12)&gt;0,AVERAGE(U12,U14),"")</f>
        <v/>
      </c>
      <c r="V16" s="3"/>
      <c r="W16" s="146" t="str">
        <f>IF((W14+W12)&gt;0,AVERAGE(W12,W14),"")</f>
        <v/>
      </c>
      <c r="X16" s="3"/>
      <c r="Y16" s="147" t="s">
        <v>4</v>
      </c>
      <c r="Z16" s="148"/>
      <c r="AA16" s="149">
        <f>SUM(IF(ISNUMBER(E16),$E$9*E16,0),IF(ISNUMBER(G16),$G$9*G16,0),IF(ISNUMBER(I16),$I$9*I16,0),IF(ISNUMBER(K16),$K$9*K16,0),IF(ISNUMBER(M16),$M$9*M16,0),IF(ISNUMBER(O16),$O$9*O16,0),IF(ISNUMBER(Q16),$Q$9*Q16,0),IF(ISNUMBER(S16),$S$9*S16,0),IF(ISNUMBER(U16),$U$9*U16,0),IF(ISNUMBER(W16),$W$9*W16,0))/SUM(IF(ISNUMBER(E16),$E$9,0),IF(ISNUMBER(G16),$G$9,0),IF(ISNUMBER(I16),$I$9,0),IF(ISNUMBER(K16),$K$9,0),IF(ISNUMBER(M16),$M$9,0),IF(ISNUMBER(O16),$O$9,0),IF(ISNUMBER(Q16),$Q$9,0),IF(ISNUMBER(S16),$S$9,0),IF(ISNUMBER(U16),$U$9,0),IF(ISNUMBER(W16),$W$9,0))</f>
        <v>3.3031914893617023</v>
      </c>
    </row>
    <row r="17" spans="1:29">
      <c r="A17" s="150"/>
      <c r="B17" s="151"/>
      <c r="C17" s="151"/>
      <c r="D17" s="151"/>
      <c r="E17" s="152"/>
      <c r="F17" s="4"/>
      <c r="G17" s="152"/>
      <c r="H17" s="4"/>
      <c r="I17" s="152"/>
      <c r="J17" s="4"/>
      <c r="K17" s="152"/>
      <c r="L17" s="4"/>
      <c r="M17" s="152"/>
      <c r="N17" s="4"/>
      <c r="O17" s="152"/>
      <c r="P17" s="4"/>
      <c r="Q17" s="152"/>
      <c r="R17" s="4"/>
      <c r="S17" s="152"/>
      <c r="T17" s="4"/>
      <c r="U17" s="152"/>
      <c r="V17" s="4"/>
      <c r="W17" s="152"/>
      <c r="X17" s="4"/>
      <c r="Y17" s="153"/>
      <c r="Z17" s="151"/>
      <c r="AA17" s="154"/>
    </row>
    <row r="18" spans="1:29">
      <c r="B18" s="111" t="s">
        <v>14</v>
      </c>
      <c r="C18" s="111"/>
      <c r="D18" s="111"/>
      <c r="E18" s="57"/>
      <c r="F18" s="2"/>
      <c r="G18" s="57">
        <v>5</v>
      </c>
      <c r="H18" s="2"/>
      <c r="I18" s="57"/>
      <c r="J18" s="2"/>
      <c r="K18" s="57"/>
      <c r="L18" s="2"/>
      <c r="M18" s="57"/>
      <c r="N18" s="2"/>
      <c r="O18" s="57"/>
      <c r="P18" s="2"/>
      <c r="Q18" s="57"/>
      <c r="R18" s="2"/>
      <c r="S18" s="57"/>
      <c r="T18" s="2"/>
      <c r="U18" s="57"/>
      <c r="V18" s="2"/>
      <c r="W18" s="57"/>
      <c r="X18" s="2"/>
      <c r="Y18" s="129"/>
      <c r="Z18" s="111"/>
      <c r="AA18" s="155"/>
    </row>
    <row r="19" spans="1:29">
      <c r="A19" s="156"/>
      <c r="B19" s="111"/>
      <c r="C19" s="111"/>
      <c r="D19" s="111"/>
      <c r="E19" s="144"/>
      <c r="F19" s="2"/>
      <c r="G19" s="144"/>
      <c r="H19" s="2"/>
      <c r="I19" s="144"/>
      <c r="J19" s="2"/>
      <c r="K19" s="144"/>
      <c r="L19" s="2"/>
      <c r="M19" s="144"/>
      <c r="N19" s="2"/>
      <c r="O19" s="144"/>
      <c r="P19" s="2"/>
      <c r="Q19" s="144"/>
      <c r="R19" s="2"/>
      <c r="S19" s="144"/>
      <c r="T19" s="2"/>
      <c r="U19" s="144"/>
      <c r="V19" s="2"/>
      <c r="W19" s="144"/>
      <c r="X19" s="2"/>
      <c r="Y19" s="129"/>
      <c r="Z19" s="111"/>
      <c r="AA19" s="142"/>
    </row>
    <row r="20" spans="1:29">
      <c r="A20" s="156"/>
      <c r="B20" s="111" t="s">
        <v>15</v>
      </c>
      <c r="C20" s="111"/>
      <c r="D20" s="111"/>
      <c r="E20" s="57"/>
      <c r="F20" s="2"/>
      <c r="G20" s="57">
        <v>7</v>
      </c>
      <c r="H20" s="2"/>
      <c r="I20" s="57"/>
      <c r="J20" s="2"/>
      <c r="K20" s="57"/>
      <c r="L20" s="2"/>
      <c r="M20" s="57"/>
      <c r="N20" s="2"/>
      <c r="O20" s="57"/>
      <c r="P20" s="2"/>
      <c r="Q20" s="57"/>
      <c r="R20" s="2"/>
      <c r="S20" s="57"/>
      <c r="T20" s="2"/>
      <c r="U20" s="57"/>
      <c r="V20" s="2"/>
      <c r="W20" s="57"/>
      <c r="X20" s="2"/>
      <c r="Y20" s="129"/>
      <c r="Z20" s="111"/>
      <c r="AA20" s="155"/>
      <c r="AB20" s="157"/>
      <c r="AC20" s="157"/>
    </row>
    <row r="21" spans="1:29">
      <c r="A21" s="156"/>
      <c r="B21" s="111"/>
      <c r="C21" s="111"/>
      <c r="D21" s="111"/>
      <c r="E21" s="144"/>
      <c r="F21" s="2"/>
      <c r="G21" s="144"/>
      <c r="H21" s="2"/>
      <c r="I21" s="144"/>
      <c r="J21" s="2"/>
      <c r="K21" s="144"/>
      <c r="L21" s="2"/>
      <c r="M21" s="144"/>
      <c r="N21" s="2"/>
      <c r="O21" s="144"/>
      <c r="P21" s="2"/>
      <c r="Q21" s="144"/>
      <c r="R21" s="2"/>
      <c r="S21" s="144"/>
      <c r="T21" s="2"/>
      <c r="U21" s="144"/>
      <c r="V21" s="2"/>
      <c r="W21" s="144"/>
      <c r="X21" s="2"/>
      <c r="Y21" s="129"/>
      <c r="Z21" s="111"/>
      <c r="AA21" s="142"/>
    </row>
    <row r="22" spans="1:29">
      <c r="A22" s="156"/>
      <c r="B22" s="111" t="s">
        <v>16</v>
      </c>
      <c r="C22" s="111"/>
      <c r="D22" s="111"/>
      <c r="E22" s="57">
        <v>7</v>
      </c>
      <c r="F22" s="2"/>
      <c r="G22" s="57">
        <v>3</v>
      </c>
      <c r="H22" s="2"/>
      <c r="I22" s="57"/>
      <c r="J22" s="2"/>
      <c r="K22" s="57"/>
      <c r="L22" s="2"/>
      <c r="M22" s="57"/>
      <c r="N22" s="2"/>
      <c r="O22" s="57"/>
      <c r="P22" s="2"/>
      <c r="Q22" s="57"/>
      <c r="R22" s="2"/>
      <c r="S22" s="57"/>
      <c r="T22" s="2"/>
      <c r="U22" s="57"/>
      <c r="V22" s="2"/>
      <c r="W22" s="57"/>
      <c r="X22" s="2"/>
      <c r="Y22" s="129"/>
      <c r="Z22" s="111"/>
      <c r="AA22" s="158"/>
    </row>
    <row r="23" spans="1:29" ht="14.9" customHeight="1">
      <c r="A23" s="156"/>
      <c r="B23" s="111"/>
      <c r="C23" s="111"/>
      <c r="D23" s="111"/>
      <c r="E23" s="144"/>
      <c r="F23" s="2"/>
      <c r="G23" s="144"/>
      <c r="H23" s="2"/>
      <c r="I23" s="144"/>
      <c r="J23" s="2"/>
      <c r="K23" s="144"/>
      <c r="L23" s="2"/>
      <c r="M23" s="144"/>
      <c r="N23" s="2"/>
      <c r="O23" s="144"/>
      <c r="P23" s="2"/>
      <c r="Q23" s="144"/>
      <c r="R23" s="2"/>
      <c r="S23" s="144"/>
      <c r="T23" s="2"/>
      <c r="U23" s="144"/>
      <c r="V23" s="2"/>
      <c r="W23" s="144"/>
      <c r="X23" s="2"/>
      <c r="Y23" s="129"/>
      <c r="Z23" s="111"/>
      <c r="AA23" s="142"/>
    </row>
    <row r="24" spans="1:29">
      <c r="A24" s="156"/>
      <c r="B24" s="111" t="s">
        <v>17</v>
      </c>
      <c r="C24" s="111"/>
      <c r="D24" s="111"/>
      <c r="E24" s="57"/>
      <c r="F24" s="2"/>
      <c r="G24" s="57">
        <v>7</v>
      </c>
      <c r="H24" s="2"/>
      <c r="I24" s="57"/>
      <c r="J24" s="2"/>
      <c r="K24" s="57"/>
      <c r="L24" s="2"/>
      <c r="M24" s="57"/>
      <c r="N24" s="2"/>
      <c r="O24" s="57"/>
      <c r="P24" s="2"/>
      <c r="Q24" s="57"/>
      <c r="R24" s="2"/>
      <c r="S24" s="57"/>
      <c r="T24" s="2"/>
      <c r="U24" s="57"/>
      <c r="V24" s="2"/>
      <c r="W24" s="57"/>
      <c r="X24" s="2"/>
      <c r="Y24" s="129"/>
      <c r="Z24" s="111"/>
      <c r="AA24" s="159"/>
    </row>
    <row r="25" spans="1:29">
      <c r="A25" s="156"/>
      <c r="B25" s="111"/>
      <c r="C25" s="111"/>
      <c r="D25" s="111"/>
      <c r="E25" s="160"/>
      <c r="F25" s="2"/>
      <c r="G25" s="160"/>
      <c r="H25" s="2"/>
      <c r="I25" s="160"/>
      <c r="J25" s="2"/>
      <c r="K25" s="160"/>
      <c r="L25" s="2"/>
      <c r="M25" s="160"/>
      <c r="N25" s="2"/>
      <c r="O25" s="160"/>
      <c r="P25" s="2"/>
      <c r="Q25" s="160"/>
      <c r="R25" s="2"/>
      <c r="S25" s="160"/>
      <c r="T25" s="2"/>
      <c r="U25" s="160"/>
      <c r="V25" s="2"/>
      <c r="W25" s="160"/>
      <c r="X25" s="2"/>
      <c r="Y25" s="129"/>
      <c r="Z25" s="111"/>
      <c r="AA25" s="142"/>
    </row>
    <row r="26" spans="1:29">
      <c r="A26" s="156"/>
      <c r="B26" s="111" t="s">
        <v>140</v>
      </c>
      <c r="C26" s="111"/>
      <c r="D26" s="111"/>
      <c r="E26" s="58">
        <v>2</v>
      </c>
      <c r="F26" s="2"/>
      <c r="G26" s="58">
        <v>5</v>
      </c>
      <c r="H26" s="2"/>
      <c r="I26" s="58"/>
      <c r="J26" s="2"/>
      <c r="K26" s="58"/>
      <c r="L26" s="2"/>
      <c r="M26" s="58"/>
      <c r="N26" s="2"/>
      <c r="O26" s="58"/>
      <c r="P26" s="2"/>
      <c r="Q26" s="58"/>
      <c r="R26" s="2"/>
      <c r="S26" s="58"/>
      <c r="T26" s="2"/>
      <c r="U26" s="58"/>
      <c r="V26" s="2"/>
      <c r="W26" s="58"/>
      <c r="X26" s="2"/>
      <c r="Y26" s="129" t="s">
        <v>140</v>
      </c>
      <c r="Z26" s="111"/>
      <c r="AA26" s="142">
        <f>SUM((E$9*E26),(G$9*G26),(I$9*I26),(K$9*K26),(M$9*M26),(O$9*O26),(Q$9*Q26),(S$9*S26),(U$9*U26),(W$9*W26))/SUM(IF(ISNUMBER(E26),$E$9,0),IF(ISNUMBER(G26),$G$9,0),IF(ISNUMBER(I26),$I$9,0),IF(ISNUMBER(K26),$K$9,0),IF(ISNUMBER(M26),$M$9,0),IF(ISNUMBER(O26),$O$9,0),IF(ISNUMBER(Q26),$Q$9,0),IF(ISNUMBER(S26),$S$9,0),IF(ISNUMBER(U26),$U$9,0),IF(ISNUMBER(W26),$W$9,0))</f>
        <v>3.1170212765957448</v>
      </c>
    </row>
    <row r="27" spans="1:29">
      <c r="A27" s="156"/>
      <c r="B27" s="111"/>
      <c r="C27" s="111"/>
      <c r="D27" s="111"/>
      <c r="E27" s="160"/>
      <c r="F27" s="2"/>
      <c r="G27" s="160"/>
      <c r="H27" s="2"/>
      <c r="I27" s="160"/>
      <c r="J27" s="2"/>
      <c r="K27" s="160"/>
      <c r="L27" s="2"/>
      <c r="M27" s="160"/>
      <c r="N27" s="2"/>
      <c r="O27" s="160"/>
      <c r="P27" s="2"/>
      <c r="Q27" s="160"/>
      <c r="R27" s="2"/>
      <c r="S27" s="160"/>
      <c r="T27" s="2"/>
      <c r="U27" s="160"/>
      <c r="V27" s="2"/>
      <c r="W27" s="160"/>
      <c r="X27" s="2"/>
      <c r="Y27" s="129"/>
      <c r="Z27" s="111"/>
      <c r="AA27" s="142"/>
    </row>
    <row r="28" spans="1:29">
      <c r="A28" s="156"/>
      <c r="B28" s="111" t="s">
        <v>141</v>
      </c>
      <c r="C28" s="111"/>
      <c r="D28" s="111"/>
      <c r="E28" s="58">
        <v>3</v>
      </c>
      <c r="F28" s="2"/>
      <c r="G28" s="58">
        <v>2</v>
      </c>
      <c r="H28" s="2"/>
      <c r="I28" s="58"/>
      <c r="J28" s="2"/>
      <c r="K28" s="58"/>
      <c r="L28" s="2"/>
      <c r="M28" s="58"/>
      <c r="N28" s="2"/>
      <c r="O28" s="58"/>
      <c r="P28" s="2"/>
      <c r="Q28" s="58"/>
      <c r="R28" s="2"/>
      <c r="S28" s="58"/>
      <c r="T28" s="2"/>
      <c r="U28" s="58"/>
      <c r="V28" s="2"/>
      <c r="W28" s="58"/>
      <c r="X28" s="2"/>
      <c r="Y28" s="129" t="s">
        <v>141</v>
      </c>
      <c r="Z28" s="111"/>
      <c r="AA28" s="142">
        <f>SUM((E9*E28),(G9*G28),(I9*I28),(K9*K28),(M9*M28),(O9*O28),(Q9*Q28),(S9*S28),(U9*U28),(W9*W28))/SUM(IF(ISNUMBER(E28),$E$9,0),IF(ISNUMBER(G28),$G$9,0),IF(ISNUMBER(I28),$I$9,0),IF(ISNUMBER(K28),$K$9,0),IF(ISNUMBER(M28),$M$9,0),IF(ISNUMBER(O28),$O$9,0),IF(ISNUMBER(Q28),$Q$9,0),IF(ISNUMBER(S28),$S$9,0),IF(ISNUMBER(U28),$U$9,0),IF(ISNUMBER(W28),$W$9,0))</f>
        <v>2.6276595744680851</v>
      </c>
    </row>
    <row r="29" spans="1:29">
      <c r="A29" s="156"/>
      <c r="B29" s="111"/>
      <c r="C29" s="111"/>
      <c r="D29" s="111"/>
      <c r="E29" s="144"/>
      <c r="F29" s="2"/>
      <c r="G29" s="144"/>
      <c r="H29" s="2"/>
      <c r="I29" s="144"/>
      <c r="J29" s="2"/>
      <c r="K29" s="144"/>
      <c r="L29" s="2"/>
      <c r="M29" s="144"/>
      <c r="N29" s="2"/>
      <c r="O29" s="144"/>
      <c r="P29" s="2"/>
      <c r="Q29" s="144"/>
      <c r="R29" s="2"/>
      <c r="S29" s="144"/>
      <c r="T29" s="2"/>
      <c r="U29" s="144"/>
      <c r="V29" s="2"/>
      <c r="W29" s="144"/>
      <c r="X29" s="2"/>
      <c r="Y29" s="129"/>
      <c r="Z29" s="111"/>
      <c r="AA29" s="142"/>
    </row>
    <row r="30" spans="1:29" ht="15.65" customHeight="1">
      <c r="A30" s="156"/>
      <c r="B30" s="422" t="s">
        <v>32</v>
      </c>
      <c r="C30" s="422"/>
      <c r="D30" s="422"/>
      <c r="E30" s="162">
        <f>IF(AND(ISBLANK(E26), ISBLANK(E28)), "", IF(ISBLANK(E26), E28, IF(ISBLANK(E28), E26, MAX(E26, E28))))</f>
        <v>3</v>
      </c>
      <c r="F30" s="2"/>
      <c r="G30" s="162">
        <f>IF(AND(ISBLANK(G26), ISBLANK(G28)), "", IF(ISBLANK(G26), G28, IF(ISBLANK(G28), G26, MAX(G26, G28))))</f>
        <v>5</v>
      </c>
      <c r="H30" s="2"/>
      <c r="I30" s="162" t="str">
        <f>IF(AND(ISBLANK(I26), ISBLANK(I28)), "", IF(ISBLANK(I26), I28, IF(ISBLANK(I28), I26, MAX(I26, I28))))</f>
        <v/>
      </c>
      <c r="J30"/>
      <c r="K30" s="162" t="str">
        <f>IF(AND(ISBLANK(K26), ISBLANK(K28)), "", IF(ISBLANK(K26), K28, IF(ISBLANK(K28), K26, MAX(K26, K28))))</f>
        <v/>
      </c>
      <c r="M30" s="162" t="str">
        <f>IF(AND(ISBLANK(M26), ISBLANK(M28)), "", IF(ISBLANK(M26), M28, IF(ISBLANK(M28), M26, MAX(M26, M28))))</f>
        <v/>
      </c>
      <c r="O30" s="162" t="str">
        <f>IF(AND(ISBLANK(O26), ISBLANK(O28)), "", IF(ISBLANK(O26), O28, IF(ISBLANK(O28), O26, MAX(O26, O28))))</f>
        <v/>
      </c>
      <c r="Q30" s="162" t="str">
        <f>IF(AND(ISBLANK(Q26), ISBLANK(Q28)), "", IF(ISBLANK(Q26), Q28, IF(ISBLANK(Q28), Q26, MAX(Q26, Q28))))</f>
        <v/>
      </c>
      <c r="S30" s="162" t="str">
        <f>IF(AND(ISBLANK(S26), ISBLANK(S28)), "", IF(ISBLANK(S26), S28, IF(ISBLANK(S28), S26, MAX(S26, S28))))</f>
        <v/>
      </c>
      <c r="U30" s="162" t="str">
        <f>IF(AND(ISBLANK(U26), ISBLANK(U28)), "", IF(ISBLANK(U26), U28, IF(ISBLANK(U28), U26, MAX(U26, U28))))</f>
        <v/>
      </c>
      <c r="W30" s="162" t="str">
        <f>IF(AND(ISBLANK(W26), ISBLANK(W28)), "", IF(ISBLANK(W26), W28, IF(ISBLANK(W28), W26, MAX(W26, W28))))</f>
        <v/>
      </c>
      <c r="Y30" s="421" t="s">
        <v>32</v>
      </c>
      <c r="Z30" s="422"/>
      <c r="AA30" s="142">
        <f>SUM(IF(ISNUMBER(E30),$E$9*E30,0),IF(ISNUMBER(G30),$G$9*G30,0),IF(ISNUMBER(I30),$I$9*I30,0),IF(ISNUMBER(K30),$K$9*K30,0),IF(ISNUMBER(M30),$M$9*M30,0),IF(ISNUMBER(O30),$O$9*O30,0),IF(ISNUMBER(Q30),$Q$9*Q30,0),IF(ISNUMBER(S30),$S$9*S30,0),IF(ISNUMBER(U30),$U$9*U30,0),IF(ISNUMBER(W30),$W$9*W30,0))/SUM(IF(ISNUMBER(E30),$E$9,0),IF(ISNUMBER(G30),$G$9,0),IF(ISNUMBER(I30),$I$9,0),IF(ISNUMBER(K30),$K$9,0),IF(ISNUMBER(M30),$M$9,0),IF(ISNUMBER(O30),$O$9,0),IF(ISNUMBER(Q30),$Q$9,0),IF(ISNUMBER(S30),$S$9,0),IF(ISNUMBER(U30),$U$9,0),IF(ISNUMBER(W30),$W$9,0))</f>
        <v>3.7446808510638299</v>
      </c>
    </row>
    <row r="31" spans="1:29" ht="15.65" customHeight="1">
      <c r="A31" s="164"/>
      <c r="B31" s="422"/>
      <c r="C31" s="422"/>
      <c r="D31" s="422"/>
      <c r="E31" s="141"/>
      <c r="F31" s="2"/>
      <c r="G31" s="141"/>
      <c r="H31" s="2"/>
      <c r="I31" s="141"/>
      <c r="J31" s="2"/>
      <c r="K31" s="141"/>
      <c r="L31" s="2"/>
      <c r="M31" s="141"/>
      <c r="N31" s="2"/>
      <c r="O31" s="141"/>
      <c r="P31" s="2"/>
      <c r="Q31" s="141"/>
      <c r="R31" s="2"/>
      <c r="S31" s="141"/>
      <c r="T31" s="2"/>
      <c r="U31" s="141"/>
      <c r="V31" s="2"/>
      <c r="W31" s="141"/>
      <c r="X31" s="2"/>
      <c r="Y31" s="421"/>
      <c r="Z31" s="422"/>
      <c r="AA31" s="142"/>
    </row>
    <row r="32" spans="1:29" ht="15.65" customHeight="1">
      <c r="A32" s="164"/>
      <c r="B32" s="9"/>
      <c r="C32" s="9"/>
      <c r="D32" s="9"/>
      <c r="E32" s="141"/>
      <c r="F32" s="2"/>
      <c r="G32" s="141"/>
      <c r="H32" s="2"/>
      <c r="I32" s="141"/>
      <c r="J32" s="2"/>
      <c r="K32" s="141"/>
      <c r="L32" s="2"/>
      <c r="M32" s="141"/>
      <c r="N32" s="2"/>
      <c r="O32" s="141"/>
      <c r="P32" s="2"/>
      <c r="Q32" s="141"/>
      <c r="R32" s="2"/>
      <c r="S32" s="141"/>
      <c r="T32" s="2"/>
      <c r="U32" s="141"/>
      <c r="V32" s="2"/>
      <c r="W32" s="141"/>
      <c r="X32" s="2"/>
      <c r="Y32" s="163"/>
      <c r="Z32" s="9"/>
      <c r="AA32" s="142"/>
    </row>
    <row r="33" spans="1:27" ht="15.65" customHeight="1">
      <c r="A33" s="165"/>
      <c r="B33" s="429" t="s">
        <v>6</v>
      </c>
      <c r="C33" s="429"/>
      <c r="D33" s="166"/>
      <c r="E33" s="167">
        <f>IF(ISNUMBER(E30),IF(OR(E18&gt;E30, E20&gt;E30, E22&gt;E30, E24&gt;E30),AVERAGE(MAX(E18, E20, E22, E24),E30),E30),"")</f>
        <v>5</v>
      </c>
      <c r="F33" s="2"/>
      <c r="G33" s="167">
        <f>IF(ISNUMBER(G30),IF(OR(G18&gt;G30, G20&gt;G30, G22&gt;G30, G24&gt;G30),AVERAGE(MAX(G18, G20, G22, G24),G30),G30),"")</f>
        <v>6</v>
      </c>
      <c r="H33" s="2"/>
      <c r="I33" s="167" t="str">
        <f>IF(ISNUMBER(I30),IF(OR(I18&gt;I30, I20&gt;I30, I22&gt;I30, I24&gt;I30),AVERAGE(MAX(I18, I20, I22, I24),I30),I30),"")</f>
        <v/>
      </c>
      <c r="J33" s="2"/>
      <c r="K33" s="167" t="str">
        <f>IF(ISNUMBER(K30),IF(OR(K18&gt;K30, K20&gt;K30, K22&gt;K30, K24&gt;K30),AVERAGE(MAX(K18, K20, K22, K24),K30),K30),"")</f>
        <v/>
      </c>
      <c r="L33" s="2"/>
      <c r="M33" s="167" t="str">
        <f>IF(ISNUMBER(M30),IF(OR(M18&gt;M30, M20&gt;M30, M22&gt;M30, M24&gt;M30),AVERAGE(MAX(M18, M20, M22, M24),M30),M30),"")</f>
        <v/>
      </c>
      <c r="N33" s="2"/>
      <c r="O33" s="167" t="str">
        <f>IF(ISNUMBER(O30),IF(OR(O18&gt;O30, O20&gt;O30, O22&gt;O30, O24&gt;O30),AVERAGE(MAX(O18, O20, O22, O24),O30),O30),"")</f>
        <v/>
      </c>
      <c r="P33" s="2"/>
      <c r="Q33" s="167" t="str">
        <f>IF(ISNUMBER(Q30),IF(OR(Q18&gt;Q30, Q20&gt;Q30, Q22&gt;Q30, Q24&gt;Q30),AVERAGE(MAX(Q18, Q20, Q22, Q24),Q30),Q30),"")</f>
        <v/>
      </c>
      <c r="R33" s="2"/>
      <c r="S33" s="167" t="str">
        <f>IF(ISNUMBER(S30),IF(OR(S18&gt;S30, S20&gt;S30, S22&gt;S30, S24&gt;S30),AVERAGE(MAX(S18, S20, S22, S24),S30),S30),"")</f>
        <v/>
      </c>
      <c r="T33" s="2"/>
      <c r="U33" s="167" t="str">
        <f>IF(ISNUMBER(U30),IF(OR(U18&gt;U30, U20&gt;U30, U22&gt;U30, U24&gt;U30),AVERAGE(MAX(U18, U20, U22, U24),U30),U30),"")</f>
        <v/>
      </c>
      <c r="V33" s="2"/>
      <c r="W33" s="167" t="str">
        <f>IF(ISNUMBER(W30),IF(OR(W18&gt;W30, W20&gt;W30, W22&gt;W30, W24&gt;W30),AVERAGE(MAX(W18, W20, W22, W24),W30),W30),"")</f>
        <v/>
      </c>
      <c r="X33" s="2"/>
      <c r="Y33" s="168" t="s">
        <v>6</v>
      </c>
      <c r="Z33" s="9"/>
      <c r="AA33" s="169">
        <f>SUM(IF(ISNUMBER(E33),$E$9*E33,0),IF(ISNUMBER(G33),$G$9*G33,0),IF(ISNUMBER(I33),$I$9*I33,0),IF(ISNUMBER(K33),$K$9*K33,0),IF(ISNUMBER(M33),$M$9*M33,0),IF(ISNUMBER(O33),$O$9*O33,0),IF(ISNUMBER(Q33),$Q$9*Q33,0),IF(ISNUMBER(S33),$S$9*S33,0),IF(ISNUMBER(U33),$U$9*U33,0),IF(ISNUMBER(W33),$W$9*W33,0))/SUM(IF(ISNUMBER(E33),$E$9,0),IF(ISNUMBER(G33),$G$9,0),IF(ISNUMBER(I33),$I$9,0),IF(ISNUMBER(K33),$K$9,0),IF(ISNUMBER(M33),$M$9,0),IF(ISNUMBER(O33),$O$9,0),IF(ISNUMBER(Q33),$Q$9,0),IF(ISNUMBER(S33),$S$9,0),IF(ISNUMBER(U33),$U$9,0),IF(ISNUMBER(W33),$W$9,0))</f>
        <v>5.3723404255319149</v>
      </c>
    </row>
    <row r="34" spans="1:27" ht="15.65" customHeight="1">
      <c r="A34" s="143"/>
      <c r="B34" s="170"/>
      <c r="C34" s="170"/>
      <c r="D34" s="170"/>
      <c r="E34" s="171"/>
      <c r="F34" s="4"/>
      <c r="G34" s="171"/>
      <c r="H34" s="4"/>
      <c r="I34" s="171"/>
      <c r="J34" s="4"/>
      <c r="K34" s="171"/>
      <c r="L34" s="4"/>
      <c r="M34" s="171"/>
      <c r="N34" s="4"/>
      <c r="O34" s="171"/>
      <c r="P34" s="4"/>
      <c r="Q34" s="171"/>
      <c r="R34" s="4"/>
      <c r="S34" s="171"/>
      <c r="T34" s="4"/>
      <c r="U34" s="171"/>
      <c r="V34" s="4"/>
      <c r="W34" s="171"/>
      <c r="X34" s="4"/>
      <c r="Y34" s="172"/>
      <c r="Z34" s="173"/>
      <c r="AA34" s="154"/>
    </row>
    <row r="35" spans="1:27" ht="15.65" customHeight="1">
      <c r="A35" s="143"/>
      <c r="B35" s="156" t="s">
        <v>20</v>
      </c>
      <c r="C35" s="111"/>
      <c r="D35" s="111"/>
      <c r="E35" s="60">
        <v>4</v>
      </c>
      <c r="F35" s="2"/>
      <c r="G35" s="60">
        <v>2</v>
      </c>
      <c r="H35" s="2"/>
      <c r="I35" s="60"/>
      <c r="J35" s="2"/>
      <c r="K35" s="60"/>
      <c r="L35" s="2"/>
      <c r="M35" s="60"/>
      <c r="N35" s="2"/>
      <c r="O35" s="60"/>
      <c r="P35" s="2"/>
      <c r="Q35" s="60"/>
      <c r="R35" s="2"/>
      <c r="S35" s="60"/>
      <c r="T35" s="2"/>
      <c r="U35" s="60"/>
      <c r="V35" s="2"/>
      <c r="W35" s="60"/>
      <c r="X35" s="2"/>
      <c r="Y35" s="129" t="s">
        <v>20</v>
      </c>
      <c r="Z35" s="111"/>
      <c r="AA35" s="142">
        <f>SUM((E$9*E35),(G$9*G35),(I$9*I35),(K$9*K35),(M$9*M35),(O$9*O35),(Q$9*Q35),(S$9*S35),(U$9*U35),(W$9*W35))/SUM(IF(ISNUMBER(E35),$E$9,0),IF(ISNUMBER(G35),$G$9,0),IF(ISNUMBER(I35),$I$9,0),IF(ISNUMBER(K35),$K$9,0),IF(ISNUMBER(M35),$M$9,0),IF(ISNUMBER(O35),$O$9,0),IF(ISNUMBER(Q35),$Q$9,0),IF(ISNUMBER(S35),$S$9,0),IF(ISNUMBER(U35),$U$9,0),IF(ISNUMBER(W35),$W$9,0))</f>
        <v>3.2553191489361701</v>
      </c>
    </row>
    <row r="36" spans="1:27" ht="15.65" customHeight="1">
      <c r="A36" s="143"/>
      <c r="B36" s="156"/>
      <c r="C36" s="111"/>
      <c r="D36" s="111"/>
      <c r="E36" s="141"/>
      <c r="F36" s="2"/>
      <c r="G36" s="141"/>
      <c r="H36" s="2"/>
      <c r="I36" s="141"/>
      <c r="J36" s="2"/>
      <c r="K36" s="141"/>
      <c r="L36" s="2"/>
      <c r="M36" s="141"/>
      <c r="N36" s="2"/>
      <c r="O36" s="141"/>
      <c r="P36" s="2"/>
      <c r="Q36" s="141"/>
      <c r="R36" s="2"/>
      <c r="S36" s="141"/>
      <c r="T36" s="2"/>
      <c r="U36" s="141"/>
      <c r="V36" s="2"/>
      <c r="W36" s="141"/>
      <c r="X36" s="2"/>
      <c r="Y36" s="129"/>
      <c r="Z36" s="111"/>
      <c r="AA36" s="142"/>
    </row>
    <row r="37" spans="1:27" ht="15.65" customHeight="1">
      <c r="A37" s="143"/>
      <c r="B37" s="156" t="s">
        <v>21</v>
      </c>
      <c r="C37" s="111"/>
      <c r="D37" s="111"/>
      <c r="E37" s="57"/>
      <c r="F37" s="2"/>
      <c r="G37" s="57">
        <v>7</v>
      </c>
      <c r="H37" s="2"/>
      <c r="I37" s="57"/>
      <c r="J37" s="2"/>
      <c r="K37" s="57"/>
      <c r="L37" s="2"/>
      <c r="M37" s="57"/>
      <c r="N37" s="2"/>
      <c r="O37" s="57"/>
      <c r="P37" s="2"/>
      <c r="Q37" s="57"/>
      <c r="R37" s="2"/>
      <c r="S37" s="57"/>
      <c r="T37" s="2"/>
      <c r="U37" s="57"/>
      <c r="V37" s="2"/>
      <c r="W37" s="57"/>
      <c r="X37" s="2"/>
      <c r="Y37" s="129"/>
      <c r="Z37" s="111"/>
      <c r="AA37" s="174"/>
    </row>
    <row r="38" spans="1:27" ht="15.65" customHeight="1">
      <c r="A38" s="143"/>
      <c r="B38" s="156"/>
      <c r="C38" s="111"/>
      <c r="D38" s="111"/>
      <c r="E38" s="160"/>
      <c r="F38" s="2"/>
      <c r="G38" s="160"/>
      <c r="H38" s="2"/>
      <c r="I38" s="160"/>
      <c r="J38" s="2"/>
      <c r="K38" s="160"/>
      <c r="L38" s="2"/>
      <c r="M38" s="160"/>
      <c r="N38" s="2"/>
      <c r="O38" s="160"/>
      <c r="P38" s="2"/>
      <c r="Q38" s="160"/>
      <c r="R38" s="2"/>
      <c r="S38" s="160"/>
      <c r="T38" s="2"/>
      <c r="U38" s="160"/>
      <c r="V38" s="2"/>
      <c r="W38" s="160"/>
      <c r="X38" s="2"/>
      <c r="Y38" s="129"/>
      <c r="Z38" s="111"/>
      <c r="AA38" s="174"/>
    </row>
    <row r="39" spans="1:27" ht="15.65" customHeight="1">
      <c r="A39" s="175"/>
      <c r="B39" s="418" t="s">
        <v>10</v>
      </c>
      <c r="C39" s="418"/>
      <c r="D39" s="176"/>
      <c r="E39" s="146">
        <f>IF((E37+E35)&gt;0,IF((E37&gt;E35),AVERAGE(E35,E37),E35),"")</f>
        <v>4</v>
      </c>
      <c r="F39" s="3"/>
      <c r="G39" s="146">
        <f>IF((G37+G35)&gt;0,IF((G37&gt;G35),AVERAGE(G35,G37),G35),"")</f>
        <v>4.5</v>
      </c>
      <c r="H39" s="3"/>
      <c r="I39" s="146" t="str">
        <f>IF((I37+I35)&gt;0,IF((I37&gt;I35),AVERAGE(I35,I37),I35),"")</f>
        <v/>
      </c>
      <c r="J39" s="3"/>
      <c r="K39" s="146" t="str">
        <f>IF((K37+K35)&gt;0,IF((K37&gt;K35),AVERAGE(K35,K37),K35),"")</f>
        <v/>
      </c>
      <c r="L39" s="3"/>
      <c r="M39" s="146" t="str">
        <f>IF((M37+M35)&gt;0,IF((M37&gt;M35),AVERAGE(M35,M37),M35),"")</f>
        <v/>
      </c>
      <c r="N39" s="3"/>
      <c r="O39" s="146" t="str">
        <f>IF((O37+O35)&gt;0,IF((O37&gt;O35),AVERAGE(O35,O37),O35),"")</f>
        <v/>
      </c>
      <c r="P39" s="3"/>
      <c r="Q39" s="146" t="str">
        <f>IF((Q37+Q35)&gt;0,IF((Q37&gt;Q35),AVERAGE(Q35,Q37),Q35),"")</f>
        <v/>
      </c>
      <c r="R39" s="3"/>
      <c r="S39" s="146" t="str">
        <f>IF((S37+S35)&gt;0,IF((S37&gt;S35),AVERAGE(S35,S37),S35),"")</f>
        <v/>
      </c>
      <c r="T39" s="3"/>
      <c r="U39" s="146" t="str">
        <f>IF((U37+U35)&gt;0,IF((U37&gt;U35),AVERAGE(U35,U37),U35),"")</f>
        <v/>
      </c>
      <c r="V39" s="3"/>
      <c r="W39" s="146" t="str">
        <f>IF((W37+W35)&gt;0,IF((W37&gt;W35),AVERAGE(W35,W37),W35),"")</f>
        <v/>
      </c>
      <c r="X39" s="3"/>
      <c r="Y39" s="417" t="s">
        <v>10</v>
      </c>
      <c r="Z39" s="418"/>
      <c r="AA39" s="149">
        <f>SUM(IF(ISNUMBER(E39),$E$9*E39,0),IF(ISNUMBER(G39),$G$9*G39,0),IF(ISNUMBER(I39),$I$9*I39,0),IF(ISNUMBER(K39),$K$9*K39,0),IF(ISNUMBER(M39),$M$9*M39,0),IF(ISNUMBER(O39),$O$9*O39,0),IF(ISNUMBER(Q39),$Q$9*Q39,0),IF(ISNUMBER(S39),$S$9*S39,0),IF(ISNUMBER(U39),$U$9*U39,0),IF(ISNUMBER(W39),$W$9*W39,0))/SUM(IF(ISNUMBER(E39),$E$9,0),IF(ISNUMBER(G39),$G$9,0),IF(ISNUMBER(I39),$I$9,0),IF(ISNUMBER(K39),$K$9,0),IF(ISNUMBER(M39),$M$9,0),IF(ISNUMBER(O39),$O$9,0),IF(ISNUMBER(Q39),$Q$9,0),IF(ISNUMBER(S39),$S$9,0),IF(ISNUMBER(U39),$U$9,0),IF(ISNUMBER(W39),$W$9,0))</f>
        <v>4.1861702127659575</v>
      </c>
    </row>
    <row r="40" spans="1:27" ht="14.9" customHeight="1">
      <c r="A40" s="178"/>
      <c r="B40" s="151"/>
      <c r="C40" s="151"/>
      <c r="D40" s="151"/>
      <c r="E40" s="152"/>
      <c r="F40" s="4"/>
      <c r="G40" s="152"/>
      <c r="H40" s="4"/>
      <c r="I40" s="152"/>
      <c r="J40" s="4"/>
      <c r="K40" s="152"/>
      <c r="L40" s="4"/>
      <c r="M40" s="152"/>
      <c r="N40" s="4"/>
      <c r="O40" s="152"/>
      <c r="P40" s="4"/>
      <c r="Q40" s="152"/>
      <c r="R40" s="4"/>
      <c r="S40" s="152"/>
      <c r="T40" s="4"/>
      <c r="U40" s="152"/>
      <c r="V40" s="4"/>
      <c r="W40" s="152"/>
      <c r="X40" s="4"/>
      <c r="Y40" s="153"/>
      <c r="Z40" s="151"/>
      <c r="AA40" s="179"/>
    </row>
    <row r="41" spans="1:27" ht="15" customHeight="1">
      <c r="A41" s="138"/>
      <c r="B41" s="111" t="s">
        <v>18</v>
      </c>
      <c r="C41" s="111"/>
      <c r="D41" s="111"/>
      <c r="E41" s="58">
        <v>4</v>
      </c>
      <c r="F41" s="2"/>
      <c r="G41" s="58">
        <v>4</v>
      </c>
      <c r="H41" s="2"/>
      <c r="I41" s="58"/>
      <c r="J41" s="2"/>
      <c r="K41" s="58"/>
      <c r="L41" s="2"/>
      <c r="M41" s="58"/>
      <c r="N41" s="2"/>
      <c r="O41" s="58"/>
      <c r="P41" s="2"/>
      <c r="Q41" s="58"/>
      <c r="R41" s="2"/>
      <c r="S41" s="58"/>
      <c r="T41" s="2"/>
      <c r="U41" s="58"/>
      <c r="V41" s="2"/>
      <c r="W41" s="58"/>
      <c r="X41" s="2"/>
      <c r="Y41" s="129" t="s">
        <v>18</v>
      </c>
      <c r="Z41" s="111"/>
      <c r="AA41" s="142">
        <f>SUM((E$9*E41),(G$9*G41),(I$9*I41),(K$9*K41),(M$9*M41),(O$9*O41),(Q$9*Q41),(S$9*S41),(U$9*U41),(W$9*W41))/SUM(IF(ISNUMBER(E41),$E$9,0),IF(ISNUMBER(G41),$G$9,0),IF(ISNUMBER(I41),$I$9,0),IF(ISNUMBER(K41),$K$9,0),IF(ISNUMBER(M41),$M$9,0),IF(ISNUMBER(O41),$O$9,0),IF(ISNUMBER(Q41),$Q$9,0),IF(ISNUMBER(S41),$S$9,0),IF(ISNUMBER(U41),$U$9,0),IF(ISNUMBER(W41),$W$9,0))</f>
        <v>4</v>
      </c>
    </row>
    <row r="42" spans="1:27">
      <c r="A42" s="140"/>
      <c r="B42" s="111"/>
      <c r="C42" s="111"/>
      <c r="D42" s="111"/>
      <c r="E42" s="141"/>
      <c r="F42" s="2"/>
      <c r="G42" s="141"/>
      <c r="H42" s="2"/>
      <c r="I42" s="141"/>
      <c r="J42" s="2"/>
      <c r="K42" s="141"/>
      <c r="L42" s="2"/>
      <c r="M42" s="141"/>
      <c r="N42" s="2"/>
      <c r="O42" s="141"/>
      <c r="P42" s="2"/>
      <c r="Q42" s="141"/>
      <c r="R42" s="2"/>
      <c r="S42" s="141"/>
      <c r="T42" s="2"/>
      <c r="U42" s="141"/>
      <c r="V42" s="2"/>
      <c r="W42" s="141"/>
      <c r="X42" s="2"/>
      <c r="Y42" s="129"/>
      <c r="Z42" s="111"/>
      <c r="AA42" s="139"/>
    </row>
    <row r="43" spans="1:27">
      <c r="A43" s="140"/>
      <c r="B43" s="111" t="s">
        <v>19</v>
      </c>
      <c r="C43" s="111"/>
      <c r="D43" s="111"/>
      <c r="E43" s="58">
        <v>3</v>
      </c>
      <c r="F43" s="2"/>
      <c r="G43" s="58">
        <v>3</v>
      </c>
      <c r="H43" s="2"/>
      <c r="I43" s="58"/>
      <c r="J43" s="2"/>
      <c r="K43" s="58"/>
      <c r="L43" s="2"/>
      <c r="M43" s="58"/>
      <c r="N43" s="2"/>
      <c r="O43" s="58"/>
      <c r="P43" s="2"/>
      <c r="Q43" s="58"/>
      <c r="R43" s="2"/>
      <c r="S43" s="58"/>
      <c r="T43" s="2"/>
      <c r="U43" s="58"/>
      <c r="V43" s="2"/>
      <c r="W43" s="58"/>
      <c r="X43" s="2"/>
      <c r="Y43" s="129" t="s">
        <v>19</v>
      </c>
      <c r="Z43" s="111"/>
      <c r="AA43" s="142">
        <f>SUM((E$9*E43),(G$9*G43),(I$9*I43),(K$9*K43),(M$9*M43),(O$9*O43),(Q$9*Q43),(S$9*S43),(U$9*U43),(W$9*W43))/SUM(IF(ISNUMBER(E43),$E$9,0),IF(ISNUMBER(G43),$G$9,0),IF(ISNUMBER(I43),$I$9,0),IF(ISNUMBER(K43),$K$9,0),IF(ISNUMBER(M43),$M$9,0),IF(ISNUMBER(O43),$O$9,0),IF(ISNUMBER(Q43),$Q$9,0),IF(ISNUMBER(S43),$S$9,0),IF(ISNUMBER(U43),$U$9,0),IF(ISNUMBER(W43),$W$9,0))</f>
        <v>3</v>
      </c>
    </row>
    <row r="44" spans="1:27">
      <c r="A44" s="143"/>
      <c r="B44" s="111"/>
      <c r="C44" s="111"/>
      <c r="D44" s="111"/>
      <c r="E44" s="160"/>
      <c r="F44" s="2"/>
      <c r="G44" s="160"/>
      <c r="H44" s="2"/>
      <c r="I44" s="160"/>
      <c r="J44" s="2"/>
      <c r="K44" s="160"/>
      <c r="L44" s="2"/>
      <c r="M44" s="160"/>
      <c r="N44" s="2"/>
      <c r="O44" s="160"/>
      <c r="P44" s="2"/>
      <c r="Q44" s="160"/>
      <c r="R44" s="2"/>
      <c r="S44" s="160"/>
      <c r="T44" s="2"/>
      <c r="U44" s="160"/>
      <c r="V44" s="2"/>
      <c r="W44" s="160"/>
      <c r="X44" s="2"/>
      <c r="Y44" s="129"/>
      <c r="Z44" s="111"/>
      <c r="AA44" s="174"/>
    </row>
    <row r="45" spans="1:27" ht="15" customHeight="1">
      <c r="A45" s="175"/>
      <c r="B45" s="418" t="s">
        <v>8</v>
      </c>
      <c r="C45" s="418"/>
      <c r="D45" s="176"/>
      <c r="E45" s="146">
        <f>IF((E43+E41)&gt;0,AVERAGE(E41,E43),"")</f>
        <v>3.5</v>
      </c>
      <c r="F45" s="3"/>
      <c r="G45" s="146">
        <f>IF((G43+G41)&gt;0,AVERAGE(G41,G43),"")</f>
        <v>3.5</v>
      </c>
      <c r="H45" s="3"/>
      <c r="I45" s="146" t="str">
        <f>IF((I43+I41)&gt;0,AVERAGE(I41,I43),"")</f>
        <v/>
      </c>
      <c r="J45" s="3"/>
      <c r="K45" s="146" t="str">
        <f>IF((K43+K41)&gt;0,AVERAGE(K41,K43),"")</f>
        <v/>
      </c>
      <c r="L45" s="3"/>
      <c r="M45" s="146" t="str">
        <f>IF((M43+M41)&gt;0,AVERAGE(M41,M43),"")</f>
        <v/>
      </c>
      <c r="N45" s="3"/>
      <c r="O45" s="146" t="str">
        <f>IF((O43+O41)&gt;0,AVERAGE(O41,O43),"")</f>
        <v/>
      </c>
      <c r="P45" s="3"/>
      <c r="Q45" s="146" t="str">
        <f>IF((Q43+Q41)&gt;0,AVERAGE(Q41,Q43),"")</f>
        <v/>
      </c>
      <c r="R45" s="3"/>
      <c r="S45" s="146" t="str">
        <f>IF((S43+S41)&gt;0,AVERAGE(S41,S43),"")</f>
        <v/>
      </c>
      <c r="T45" s="3"/>
      <c r="U45" s="146" t="str">
        <f>IF((U43+U41)&gt;0,AVERAGE(U41,U43),"")</f>
        <v/>
      </c>
      <c r="V45" s="3"/>
      <c r="W45" s="146" t="str">
        <f>IF((W43+W41)&gt;0,AVERAGE(W41,W43),"")</f>
        <v/>
      </c>
      <c r="X45" s="3"/>
      <c r="Y45" s="147" t="s">
        <v>8</v>
      </c>
      <c r="Z45" s="145"/>
      <c r="AA45" s="149">
        <f>AVERAGE(AA41:AA43)</f>
        <v>3.5</v>
      </c>
    </row>
    <row r="46" spans="1:27" ht="15" customHeight="1">
      <c r="A46" s="143"/>
      <c r="B46" s="166"/>
      <c r="C46" s="166"/>
      <c r="D46" s="166"/>
      <c r="E46" s="167"/>
      <c r="F46" s="2"/>
      <c r="G46" s="167"/>
      <c r="H46" s="2"/>
      <c r="I46" s="167"/>
      <c r="J46" s="2"/>
      <c r="K46" s="167"/>
      <c r="L46" s="2"/>
      <c r="M46" s="167"/>
      <c r="N46" s="2"/>
      <c r="O46" s="167"/>
      <c r="P46" s="2"/>
      <c r="Q46" s="167"/>
      <c r="R46" s="2"/>
      <c r="S46" s="167"/>
      <c r="T46" s="2"/>
      <c r="U46" s="167"/>
      <c r="V46" s="2"/>
      <c r="W46" s="167"/>
      <c r="X46" s="2"/>
      <c r="Y46" s="294"/>
      <c r="Z46" s="295"/>
      <c r="AA46" s="169"/>
    </row>
    <row r="47" spans="1:27" ht="15" customHeight="1">
      <c r="A47" s="143"/>
      <c r="B47" s="111" t="s">
        <v>352</v>
      </c>
      <c r="C47" s="111"/>
      <c r="D47" s="111"/>
      <c r="E47" s="58">
        <v>4</v>
      </c>
      <c r="F47" s="2"/>
      <c r="G47" s="58">
        <v>3</v>
      </c>
      <c r="H47" s="2"/>
      <c r="I47" s="58"/>
      <c r="J47" s="2"/>
      <c r="K47" s="58"/>
      <c r="L47" s="2"/>
      <c r="M47" s="58"/>
      <c r="N47" s="2"/>
      <c r="O47" s="58"/>
      <c r="P47" s="2"/>
      <c r="Q47" s="58"/>
      <c r="R47" s="2"/>
      <c r="S47" s="58"/>
      <c r="T47" s="2"/>
      <c r="U47" s="58"/>
      <c r="V47" s="2"/>
      <c r="W47" s="58"/>
      <c r="X47" s="2"/>
      <c r="Y47" s="129"/>
      <c r="Z47" s="111"/>
      <c r="AA47" s="142"/>
    </row>
    <row r="48" spans="1:27" ht="15" customHeight="1">
      <c r="A48" s="143"/>
      <c r="B48" s="111"/>
      <c r="C48" s="111"/>
      <c r="D48" s="111"/>
      <c r="E48" s="141"/>
      <c r="F48" s="2"/>
      <c r="G48" s="141"/>
      <c r="H48" s="2"/>
      <c r="I48" s="141"/>
      <c r="J48" s="2"/>
      <c r="K48" s="141"/>
      <c r="L48" s="2"/>
      <c r="M48" s="342"/>
      <c r="N48" s="2"/>
      <c r="O48" s="342"/>
      <c r="P48" s="2"/>
      <c r="Q48" s="342"/>
      <c r="R48" s="2"/>
      <c r="S48" s="342"/>
      <c r="T48" s="2"/>
      <c r="U48" s="342"/>
      <c r="V48" s="2"/>
      <c r="W48" s="342"/>
      <c r="X48" s="2"/>
      <c r="Y48" s="129"/>
      <c r="Z48" s="111"/>
      <c r="AA48" s="174"/>
    </row>
    <row r="49" spans="1:29" ht="15" customHeight="1">
      <c r="A49" s="143"/>
      <c r="B49" s="111" t="s">
        <v>353</v>
      </c>
      <c r="C49" s="111"/>
      <c r="D49" s="111"/>
      <c r="E49" s="58">
        <v>3</v>
      </c>
      <c r="F49" s="2"/>
      <c r="G49" s="58">
        <v>3</v>
      </c>
      <c r="H49" s="2"/>
      <c r="I49" s="58"/>
      <c r="J49" s="2"/>
      <c r="K49" s="58"/>
      <c r="L49" s="2"/>
      <c r="M49" s="58"/>
      <c r="N49" s="2"/>
      <c r="O49" s="58"/>
      <c r="P49" s="2"/>
      <c r="Q49" s="58"/>
      <c r="R49" s="2"/>
      <c r="S49" s="58"/>
      <c r="T49" s="2"/>
      <c r="U49" s="58"/>
      <c r="V49" s="2"/>
      <c r="W49" s="58"/>
      <c r="X49" s="2"/>
      <c r="Y49" s="129"/>
      <c r="Z49" s="111"/>
      <c r="AA49" s="142"/>
    </row>
    <row r="50" spans="1:29" ht="14.9" customHeight="1">
      <c r="A50" s="143"/>
      <c r="B50" s="156"/>
      <c r="C50" s="111"/>
      <c r="D50" s="111"/>
      <c r="E50" s="141"/>
      <c r="F50" s="2"/>
      <c r="G50" s="141"/>
      <c r="H50" s="2"/>
      <c r="I50" s="141"/>
      <c r="J50" s="2"/>
      <c r="K50" s="141"/>
      <c r="L50" s="2"/>
      <c r="M50" s="141"/>
      <c r="N50" s="2"/>
      <c r="O50" s="141"/>
      <c r="P50" s="2"/>
      <c r="Q50" s="141"/>
      <c r="R50" s="2"/>
      <c r="S50" s="141"/>
      <c r="T50" s="2"/>
      <c r="U50" s="141"/>
      <c r="V50" s="2"/>
      <c r="W50" s="141"/>
      <c r="X50" s="2"/>
      <c r="Y50" s="129"/>
      <c r="Z50" s="111"/>
      <c r="AA50" s="139"/>
    </row>
    <row r="51" spans="1:29" ht="17.149999999999999" customHeight="1">
      <c r="A51" s="138"/>
      <c r="B51" s="111" t="s">
        <v>22</v>
      </c>
      <c r="C51" s="111"/>
      <c r="D51" s="111"/>
      <c r="E51" s="342">
        <f>IF((E49+E47)&gt;0,AVERAGE(E47,E49),"")</f>
        <v>3.5</v>
      </c>
      <c r="F51" s="2"/>
      <c r="G51" s="162">
        <f>IF((G49+G47)&gt;0,AVERAGE(G47,G49),"")</f>
        <v>3</v>
      </c>
      <c r="H51" s="2"/>
      <c r="I51" s="342" t="str">
        <f>IF((I49+I47)&gt;0,AVERAGE(I47,I49),"")</f>
        <v/>
      </c>
      <c r="J51" s="2"/>
      <c r="K51" s="342" t="str">
        <f>IF((K49+K47)&gt;0,AVERAGE(K47,K49),"")</f>
        <v/>
      </c>
      <c r="L51" s="2"/>
      <c r="M51" s="342" t="str">
        <f>IF((M49+M47)&gt;0,AVERAGE(M47,M49),"")</f>
        <v/>
      </c>
      <c r="N51" s="2"/>
      <c r="O51" s="342" t="str">
        <f>IF((O49+O47)&gt;0,AVERAGE(O47,O49),"")</f>
        <v/>
      </c>
      <c r="P51" s="2"/>
      <c r="Q51" s="342" t="str">
        <f>IF((Q49+Q47)&gt;0,AVERAGE(Q47,Q49),"")</f>
        <v/>
      </c>
      <c r="R51" s="2"/>
      <c r="S51" s="342" t="str">
        <f>IF((S49+S47)&gt;0,AVERAGE(S47,S49),"")</f>
        <v/>
      </c>
      <c r="T51" s="2"/>
      <c r="U51" s="342" t="str">
        <f>IF((U49+U47)&gt;0,AVERAGE(U47,U49),"")</f>
        <v/>
      </c>
      <c r="V51" s="2"/>
      <c r="W51" s="342" t="str">
        <f>IF((W49+W47)&gt;0,AVERAGE(W47,W49),"")</f>
        <v/>
      </c>
      <c r="X51" s="2"/>
      <c r="Y51" s="129" t="s">
        <v>22</v>
      </c>
      <c r="Z51" s="111"/>
      <c r="AA51" s="142">
        <f>SUM(IF(ISNUMBER(E51),$E$9*E51,0),IF(ISNUMBER(G51),$G$9*G51,0),IF(ISNUMBER(I51),$I$9*I51,0),IF(ISNUMBER(K51),$K$9*K51,0),IF(ISNUMBER(M51),$M$9*M51,0),IF(ISNUMBER(O51),$O$9*O51,0),IF(ISNUMBER(Q51),$Q$9*Q51,0),IF(ISNUMBER(S51),$S$9*S51,0),IF(ISNUMBER(U51),$U$9*U51,0),IF(ISNUMBER(W51),$W$9*W51,0))/SUM(IF(ISNUMBER(E51),$E$9,0),IF(ISNUMBER(G51),$G$9,0),IF(ISNUMBER(I51),$I$9,0),IF(ISNUMBER(K51),$K$9,0),IF(ISNUMBER(M51),$M$9,0),IF(ISNUMBER(O51),$O$9,0),IF(ISNUMBER(Q51),$Q$9,0),IF(ISNUMBER(S51),$S$9,0),IF(ISNUMBER(U51),$U$9,0),IF(ISNUMBER(W51),$W$9,0))</f>
        <v>3.3138297872340425</v>
      </c>
    </row>
    <row r="52" spans="1:29" ht="17.149999999999999" customHeight="1">
      <c r="A52" s="300"/>
      <c r="B52" s="111"/>
      <c r="C52" s="111"/>
      <c r="D52" s="111"/>
      <c r="E52" s="141"/>
      <c r="F52" s="2"/>
      <c r="G52" s="386"/>
      <c r="H52" s="2"/>
      <c r="I52" s="141"/>
      <c r="J52" s="2"/>
      <c r="K52" s="141"/>
      <c r="L52" s="2"/>
      <c r="M52" s="141"/>
      <c r="N52" s="2"/>
      <c r="O52" s="141"/>
      <c r="P52" s="2"/>
      <c r="Q52" s="141"/>
      <c r="R52" s="2"/>
      <c r="S52" s="141"/>
      <c r="T52" s="2"/>
      <c r="U52" s="141"/>
      <c r="V52" s="2"/>
      <c r="W52" s="141"/>
      <c r="X52" s="2"/>
      <c r="Y52" s="129"/>
      <c r="Z52" s="111"/>
      <c r="AA52" s="142"/>
    </row>
    <row r="53" spans="1:29" ht="17.149999999999999" customHeight="1">
      <c r="A53" s="300"/>
      <c r="B53" s="111" t="s">
        <v>354</v>
      </c>
      <c r="C53" s="111"/>
      <c r="D53" s="111"/>
      <c r="E53" s="58">
        <v>4</v>
      </c>
      <c r="F53" s="2"/>
      <c r="G53" s="58"/>
      <c r="H53" s="2"/>
      <c r="I53" s="58"/>
      <c r="J53" s="2"/>
      <c r="K53" s="58"/>
      <c r="L53" s="2"/>
      <c r="M53" s="58"/>
      <c r="N53" s="2"/>
      <c r="O53" s="58"/>
      <c r="P53" s="2"/>
      <c r="Q53" s="58"/>
      <c r="R53" s="2"/>
      <c r="S53" s="58"/>
      <c r="T53" s="2"/>
      <c r="U53" s="58"/>
      <c r="V53" s="2"/>
      <c r="W53" s="58"/>
      <c r="X53" s="2"/>
      <c r="Y53" s="129"/>
      <c r="Z53" s="111"/>
      <c r="AA53" s="142"/>
    </row>
    <row r="54" spans="1:29" ht="17.149999999999999" customHeight="1">
      <c r="A54" s="300"/>
      <c r="B54" s="111"/>
      <c r="C54" s="111"/>
      <c r="D54" s="111"/>
      <c r="E54" s="342"/>
      <c r="F54" s="2"/>
      <c r="G54" s="162"/>
      <c r="H54" s="2"/>
      <c r="I54" s="342"/>
      <c r="J54" s="2"/>
      <c r="K54" s="342"/>
      <c r="L54" s="2"/>
      <c r="M54" s="342"/>
      <c r="N54" s="2"/>
      <c r="O54" s="342"/>
      <c r="P54" s="2"/>
      <c r="Q54" s="342"/>
      <c r="R54" s="2"/>
      <c r="S54" s="342"/>
      <c r="T54" s="2"/>
      <c r="U54" s="342"/>
      <c r="V54" s="2"/>
      <c r="W54" s="342"/>
      <c r="X54" s="2"/>
      <c r="Y54" s="129"/>
      <c r="Z54" s="111"/>
      <c r="AA54" s="142"/>
    </row>
    <row r="55" spans="1:29" ht="17.149999999999999" customHeight="1">
      <c r="A55" s="138"/>
      <c r="B55" s="111" t="s">
        <v>355</v>
      </c>
      <c r="C55" s="111"/>
      <c r="D55" s="111"/>
      <c r="E55" s="58">
        <v>3</v>
      </c>
      <c r="F55" s="2"/>
      <c r="G55" s="58"/>
      <c r="H55" s="2"/>
      <c r="I55" s="58"/>
      <c r="J55" s="2"/>
      <c r="K55" s="58"/>
      <c r="L55" s="2"/>
      <c r="M55" s="58"/>
      <c r="N55" s="2"/>
      <c r="O55" s="58"/>
      <c r="P55" s="2"/>
      <c r="Q55" s="58"/>
      <c r="R55" s="2"/>
      <c r="S55" s="58"/>
      <c r="T55" s="2"/>
      <c r="U55" s="58"/>
      <c r="V55" s="2"/>
      <c r="W55" s="58"/>
      <c r="X55" s="2"/>
      <c r="Y55" s="129"/>
      <c r="Z55" s="111"/>
      <c r="AA55" s="142"/>
    </row>
    <row r="56" spans="1:29">
      <c r="A56" s="140"/>
      <c r="B56" s="111"/>
      <c r="C56" s="111"/>
      <c r="D56" s="111"/>
      <c r="E56" s="141"/>
      <c r="F56" s="2"/>
      <c r="G56" s="141"/>
      <c r="H56" s="2"/>
      <c r="I56" s="141"/>
      <c r="J56" s="2"/>
      <c r="K56" s="141"/>
      <c r="L56" s="2"/>
      <c r="M56" s="141"/>
      <c r="N56" s="2"/>
      <c r="O56" s="141"/>
      <c r="P56" s="2"/>
      <c r="Q56" s="141"/>
      <c r="R56" s="2"/>
      <c r="S56" s="141"/>
      <c r="T56" s="2"/>
      <c r="U56" s="141"/>
      <c r="V56" s="2"/>
      <c r="W56" s="141"/>
      <c r="X56" s="2"/>
      <c r="Y56" s="129"/>
      <c r="Z56" s="111"/>
      <c r="AA56" s="139"/>
    </row>
    <row r="57" spans="1:29">
      <c r="A57" s="140"/>
      <c r="B57" s="111" t="s">
        <v>23</v>
      </c>
      <c r="C57" s="111"/>
      <c r="D57" s="111"/>
      <c r="E57" s="342">
        <f>IF((E55+E53)&gt;0,AVERAGE(E53,E55),"")</f>
        <v>3.5</v>
      </c>
      <c r="F57" s="2"/>
      <c r="G57" s="342" t="str">
        <f>IF((G55+G53)&gt;0,AVERAGE(G53,G55),"")</f>
        <v/>
      </c>
      <c r="H57" s="2"/>
      <c r="I57" s="342" t="str">
        <f>IF((I55+I53)&gt;0,AVERAGE(I53,I55),"")</f>
        <v/>
      </c>
      <c r="J57" s="2"/>
      <c r="K57" s="342" t="str">
        <f>IF((K55+K53)&gt;0,AVERAGE(K53,K55),"")</f>
        <v/>
      </c>
      <c r="L57" s="2"/>
      <c r="M57" s="342" t="str">
        <f>IF((M55+M53)&gt;0,AVERAGE(M53,M55),"")</f>
        <v/>
      </c>
      <c r="N57" s="2"/>
      <c r="O57" s="342" t="str">
        <f>IF((O55+O53)&gt;0,AVERAGE(O53,O55),"")</f>
        <v/>
      </c>
      <c r="P57" s="2"/>
      <c r="Q57" s="342" t="str">
        <f>IF((Q55+Q53)&gt;0,AVERAGE(Q53,Q55),"")</f>
        <v/>
      </c>
      <c r="R57" s="2"/>
      <c r="S57" s="342" t="str">
        <f>IF((S55+S53)&gt;0,AVERAGE(S53,S55),"")</f>
        <v/>
      </c>
      <c r="T57" s="2"/>
      <c r="U57" s="342" t="str">
        <f>IF((U55+U53)&gt;0,AVERAGE(U53,U55),"")</f>
        <v/>
      </c>
      <c r="V57" s="2"/>
      <c r="W57" s="342" t="str">
        <f>IF((W55+W53)&gt;0,AVERAGE(W53,W55),"")</f>
        <v/>
      </c>
      <c r="X57" s="2"/>
      <c r="Y57" s="129" t="s">
        <v>23</v>
      </c>
      <c r="Z57" s="111"/>
      <c r="AA57" s="142">
        <f>SUM(IF(ISNUMBER(E57),$E$9*E57,0),IF(ISNUMBER(G57),$G$9*G57,0),IF(ISNUMBER(I57),$I$9*I57,0),IF(ISNUMBER(K57),$K$9*K57,0),IF(ISNUMBER(M57),$M$9*M57,0),IF(ISNUMBER(O57),$O$9*O57,0),IF(ISNUMBER(Q57),$Q$9*Q57,0),IF(ISNUMBER(S57),$S$9*S57,0),IF(ISNUMBER(U57),$U$9*U57,0),IF(ISNUMBER(W57),$W$9*W57,0))/SUM(IF(ISNUMBER(E57),$E$9,0),IF(ISNUMBER(G57),$G$9,0),IF(ISNUMBER(I57),$I$9,0),IF(ISNUMBER(K57),$K$9,0),IF(ISNUMBER(M57),$M$9,0),IF(ISNUMBER(O57),$O$9,0),IF(ISNUMBER(Q57),$Q$9,0),IF(ISNUMBER(S57),$S$9,0),IF(ISNUMBER(U57),$U$9,0),IF(ISNUMBER(W57),$W$9,0))</f>
        <v>3.5</v>
      </c>
    </row>
    <row r="58" spans="1:29">
      <c r="A58" s="143"/>
      <c r="B58" s="111"/>
      <c r="C58" s="111"/>
      <c r="D58" s="111"/>
      <c r="E58" s="160"/>
      <c r="F58" s="2"/>
      <c r="G58" s="160"/>
      <c r="H58" s="2"/>
      <c r="I58" s="160"/>
      <c r="J58" s="2"/>
      <c r="K58" s="160"/>
      <c r="L58" s="2"/>
      <c r="M58" s="160"/>
      <c r="N58" s="2"/>
      <c r="O58" s="160"/>
      <c r="P58" s="2"/>
      <c r="Q58" s="160"/>
      <c r="R58" s="2"/>
      <c r="S58" s="160"/>
      <c r="T58" s="2"/>
      <c r="U58" s="160"/>
      <c r="V58" s="2"/>
      <c r="W58" s="160"/>
      <c r="X58" s="2"/>
      <c r="Y58" s="129"/>
      <c r="Z58" s="111"/>
      <c r="AA58" s="174"/>
    </row>
    <row r="59" spans="1:29" ht="14.9" customHeight="1">
      <c r="A59" s="175"/>
      <c r="B59" s="145" t="s">
        <v>11</v>
      </c>
      <c r="C59" s="145"/>
      <c r="D59" s="145"/>
      <c r="E59" s="146">
        <f>IF(ISNUMBER(E51),AVERAGE(E51,E57),"")</f>
        <v>3.5</v>
      </c>
      <c r="F59" s="3"/>
      <c r="G59" s="146">
        <f>IF(ISNUMBER(G51),AVERAGE(G51,G57),"")</f>
        <v>3</v>
      </c>
      <c r="H59" s="3"/>
      <c r="I59" s="146" t="str">
        <f>IF(ISNUMBER(I51),AVERAGE(I51,I57),"")</f>
        <v/>
      </c>
      <c r="J59" s="3"/>
      <c r="K59" s="146" t="str">
        <f>IF(ISNUMBER(K51),AVERAGE(K51,K57),"")</f>
        <v/>
      </c>
      <c r="L59" s="3"/>
      <c r="M59" s="146" t="str">
        <f>IF(ISNUMBER(M51),AVERAGE(M51,M57),"")</f>
        <v/>
      </c>
      <c r="N59" s="3"/>
      <c r="O59" s="146" t="str">
        <f>IF(ISNUMBER(O51),AVERAGE(O51,O57),"")</f>
        <v/>
      </c>
      <c r="P59" s="3"/>
      <c r="Q59" s="146" t="str">
        <f>IF(ISNUMBER(Q51),AVERAGE(Q51,Q57),"")</f>
        <v/>
      </c>
      <c r="R59" s="3"/>
      <c r="S59" s="146" t="str">
        <f>IF(ISNUMBER(S51),AVERAGE(S51,S57),"")</f>
        <v/>
      </c>
      <c r="T59" s="3"/>
      <c r="U59" s="146" t="str">
        <f>IF(ISNUMBER(U51),AVERAGE(U51,U57),"")</f>
        <v/>
      </c>
      <c r="V59" s="3"/>
      <c r="W59" s="146" t="str">
        <f>IF(ISNUMBER(W51),AVERAGE(W51,W57),"")</f>
        <v/>
      </c>
      <c r="X59" s="3"/>
      <c r="Y59" s="417" t="s">
        <v>11</v>
      </c>
      <c r="Z59" s="418"/>
      <c r="AA59" s="149">
        <f>AVERAGE(AA51:AA57)</f>
        <v>3.4069148936170213</v>
      </c>
      <c r="AC59" t="str">
        <f>IF(ISNUMBER(I51),AVERAGE(I51,I57),"")</f>
        <v/>
      </c>
    </row>
    <row r="60" spans="1:29" ht="14.9" customHeight="1">
      <c r="A60" s="178"/>
      <c r="B60" s="151"/>
      <c r="C60" s="151"/>
      <c r="D60" s="151"/>
      <c r="E60" s="141"/>
      <c r="F60" s="4"/>
      <c r="G60" s="181"/>
      <c r="H60" s="4"/>
      <c r="I60" s="181"/>
      <c r="J60" s="4"/>
      <c r="K60" s="181"/>
      <c r="L60" s="4"/>
      <c r="M60" s="181"/>
      <c r="N60" s="4"/>
      <c r="O60" s="181"/>
      <c r="P60" s="4"/>
      <c r="Q60" s="181"/>
      <c r="R60" s="4"/>
      <c r="S60" s="181"/>
      <c r="T60" s="4"/>
      <c r="U60" s="181"/>
      <c r="V60" s="4"/>
      <c r="W60" s="181"/>
      <c r="X60" s="4"/>
      <c r="Y60" s="129"/>
      <c r="Z60" s="111"/>
      <c r="AA60" s="139"/>
    </row>
    <row r="61" spans="1:29" ht="15.65" customHeight="1">
      <c r="A61" s="138"/>
      <c r="B61" s="111" t="s">
        <v>359</v>
      </c>
      <c r="C61" s="111"/>
      <c r="D61" s="111"/>
      <c r="E61" s="58">
        <v>4</v>
      </c>
      <c r="F61" s="2"/>
      <c r="G61" s="58">
        <v>4</v>
      </c>
      <c r="H61" s="2"/>
      <c r="I61" s="58"/>
      <c r="J61" s="2"/>
      <c r="K61" s="58"/>
      <c r="L61" s="2"/>
      <c r="M61" s="58"/>
      <c r="N61" s="2"/>
      <c r="O61" s="58"/>
      <c r="P61" s="2"/>
      <c r="Q61" s="58"/>
      <c r="R61" s="2"/>
      <c r="S61" s="58"/>
      <c r="T61" s="2"/>
      <c r="U61" s="58"/>
      <c r="V61" s="2"/>
      <c r="W61" s="58"/>
      <c r="Y61" s="129"/>
      <c r="Z61" s="111"/>
      <c r="AA61" s="139"/>
    </row>
    <row r="62" spans="1:29" ht="14.9" customHeight="1">
      <c r="A62" s="140"/>
      <c r="B62" s="111"/>
      <c r="C62" s="111"/>
      <c r="D62" s="111"/>
      <c r="E62" s="141"/>
      <c r="F62" s="2"/>
      <c r="G62" s="141"/>
      <c r="H62" s="2"/>
      <c r="I62" s="141"/>
      <c r="J62" s="2"/>
      <c r="K62" s="141"/>
      <c r="L62" s="2"/>
      <c r="M62" s="141"/>
      <c r="N62" s="2"/>
      <c r="O62" s="141"/>
      <c r="P62" s="2"/>
      <c r="Q62" s="141"/>
      <c r="R62" s="2"/>
      <c r="S62" s="141"/>
      <c r="T62" s="2"/>
      <c r="U62" s="141"/>
      <c r="V62" s="2"/>
      <c r="W62" s="141"/>
      <c r="X62" s="2"/>
      <c r="Y62" s="129"/>
      <c r="Z62" s="111"/>
      <c r="AA62" s="139"/>
    </row>
    <row r="63" spans="1:29" ht="14.9" customHeight="1">
      <c r="A63" s="140"/>
      <c r="B63" s="111" t="s">
        <v>356</v>
      </c>
      <c r="C63" s="111"/>
      <c r="D63" s="111"/>
      <c r="E63" s="58">
        <v>4</v>
      </c>
      <c r="F63" s="2"/>
      <c r="G63" s="58">
        <v>3</v>
      </c>
      <c r="H63" s="2"/>
      <c r="I63" s="58"/>
      <c r="J63" s="2"/>
      <c r="K63" s="58"/>
      <c r="L63" s="2"/>
      <c r="M63" s="58"/>
      <c r="N63" s="2"/>
      <c r="O63" s="58"/>
      <c r="P63" s="2"/>
      <c r="Q63" s="58"/>
      <c r="R63" s="2"/>
      <c r="S63" s="58"/>
      <c r="T63" s="2"/>
      <c r="U63" s="58"/>
      <c r="V63" s="2"/>
      <c r="W63" s="58"/>
      <c r="X63" s="2"/>
      <c r="Y63" s="129"/>
      <c r="Z63" s="111"/>
      <c r="AA63" s="139"/>
    </row>
    <row r="64" spans="1:29" ht="14.9" customHeight="1">
      <c r="A64" s="140"/>
      <c r="B64" s="111"/>
      <c r="C64" s="111"/>
      <c r="D64" s="111"/>
      <c r="E64" s="141"/>
      <c r="F64" s="2"/>
      <c r="G64" s="141"/>
      <c r="H64" s="2"/>
      <c r="I64" s="141"/>
      <c r="J64" s="2"/>
      <c r="K64" s="141"/>
      <c r="L64" s="2"/>
      <c r="M64" s="141"/>
      <c r="N64" s="2"/>
      <c r="O64" s="141"/>
      <c r="P64" s="2"/>
      <c r="Q64" s="141"/>
      <c r="R64" s="2"/>
      <c r="S64" s="141"/>
      <c r="T64" s="2"/>
      <c r="U64" s="141"/>
      <c r="V64" s="2"/>
      <c r="W64" s="141"/>
      <c r="X64" s="2"/>
      <c r="Y64" s="129"/>
      <c r="Z64" s="111"/>
      <c r="AA64" s="139"/>
    </row>
    <row r="65" spans="1:55" ht="14.9" customHeight="1">
      <c r="A65" s="140"/>
      <c r="B65" s="111" t="s">
        <v>26</v>
      </c>
      <c r="C65" s="111"/>
      <c r="D65" s="111"/>
      <c r="E65" s="342">
        <f>IF((E63+E61)&gt;0,AVERAGE(E61,E63),"")</f>
        <v>4</v>
      </c>
      <c r="F65" s="2"/>
      <c r="G65" s="342">
        <f>IF((G63+G61)&gt;0,AVERAGE(G61,G63),"")</f>
        <v>3.5</v>
      </c>
      <c r="H65" s="2"/>
      <c r="I65" s="342" t="str">
        <f>IF((I63+I61)&gt;0,AVERAGE(I61,I63),"")</f>
        <v/>
      </c>
      <c r="J65" s="2"/>
      <c r="K65" s="342" t="str">
        <f>IF((K63+K61)&gt;0,AVERAGE(K61,K63),"")</f>
        <v/>
      </c>
      <c r="L65" s="2"/>
      <c r="M65" s="342" t="str">
        <f>IF((M63+M61)&gt;0,AVERAGE(M61,M63),"")</f>
        <v/>
      </c>
      <c r="N65" s="2"/>
      <c r="O65" s="342" t="str">
        <f>IF((O63+O61)&gt;0,AVERAGE(O61,O63),"")</f>
        <v/>
      </c>
      <c r="P65" s="2"/>
      <c r="Q65" s="342" t="str">
        <f>IF((Q63+Q61)&gt;0,AVERAGE(Q61,Q63),"")</f>
        <v/>
      </c>
      <c r="R65" s="2"/>
      <c r="S65" s="342" t="str">
        <f>IF((S63+S61)&gt;0,AVERAGE(S61,S63),"")</f>
        <v/>
      </c>
      <c r="T65" s="2"/>
      <c r="U65" s="342" t="str">
        <f>IF((U63+U61)&gt;0,AVERAGE(U61,U63),"")</f>
        <v/>
      </c>
      <c r="V65" s="2"/>
      <c r="W65" s="342" t="str">
        <f>IF((W63+W61)&gt;0,AVERAGE(W61,W63),"")</f>
        <v/>
      </c>
      <c r="X65" s="2"/>
      <c r="Y65" s="129" t="s">
        <v>26</v>
      </c>
      <c r="Z65" s="111"/>
      <c r="AA65" s="142">
        <f>SUM(IF(ISNUMBER(E65),$E$9*E65,0),IF(ISNUMBER(G65),$G$9*G65,0),IF(ISNUMBER(I65),$I$9*I65,0),IF(ISNUMBER(K65),$K$9*K65,0),IF(ISNUMBER(M65),$M$9*M65,0),IF(ISNUMBER(O65),$O$9*O65,0),IF(ISNUMBER(Q65),$Q$9*Q65,0),IF(ISNUMBER(S65),$S$9*S65,0),IF(ISNUMBER(U65),$U$9*U65,0),IF(ISNUMBER(W65),$W$9*W65,0))/SUM(IF(ISNUMBER(E65),$E$9,0),IF(ISNUMBER(G65),$G$9,0),IF(ISNUMBER(I65),$I$9,0),IF(ISNUMBER(K65),$K$9,0),IF(ISNUMBER(M65),$M$9,0),IF(ISNUMBER(O65),$O$9,0),IF(ISNUMBER(Q65),$Q$9,0),IF(ISNUMBER(S65),$S$9,0),IF(ISNUMBER(U65),$U$9,0),IF(ISNUMBER(W65),$W$9,0))</f>
        <v>3.8138297872340425</v>
      </c>
    </row>
    <row r="66" spans="1:55" ht="14.9" customHeight="1">
      <c r="A66" s="140"/>
      <c r="B66" s="111"/>
      <c r="C66" s="111"/>
      <c r="D66" s="111"/>
      <c r="E66" s="141"/>
      <c r="F66" s="2"/>
      <c r="G66" s="141"/>
      <c r="H66" s="2"/>
      <c r="I66" s="141"/>
      <c r="J66" s="2"/>
      <c r="K66" s="141"/>
      <c r="L66" s="2"/>
      <c r="M66" s="141"/>
      <c r="N66" s="2"/>
      <c r="O66" s="141"/>
      <c r="P66" s="2"/>
      <c r="Q66" s="141"/>
      <c r="R66" s="2"/>
      <c r="S66" s="141"/>
      <c r="T66" s="2"/>
      <c r="U66" s="141"/>
      <c r="V66" s="2"/>
      <c r="W66" s="141"/>
      <c r="X66" s="2"/>
      <c r="Y66" s="129"/>
      <c r="Z66" s="111"/>
      <c r="AA66" s="139"/>
    </row>
    <row r="67" spans="1:55" ht="14.9" customHeight="1">
      <c r="A67" s="140"/>
      <c r="B67" s="111" t="s">
        <v>357</v>
      </c>
      <c r="C67" s="111"/>
      <c r="D67" s="111"/>
      <c r="E67" s="58">
        <v>4</v>
      </c>
      <c r="F67" s="2"/>
      <c r="G67" s="58">
        <v>4</v>
      </c>
      <c r="H67" s="2"/>
      <c r="I67" s="58"/>
      <c r="J67" s="2"/>
      <c r="K67" s="58"/>
      <c r="L67" s="2"/>
      <c r="M67" s="58"/>
      <c r="N67" s="2"/>
      <c r="O67" s="58"/>
      <c r="P67" s="2"/>
      <c r="Q67" s="58"/>
      <c r="R67" s="2"/>
      <c r="S67" s="58"/>
      <c r="T67" s="2"/>
      <c r="U67" s="58"/>
      <c r="V67" s="2"/>
      <c r="W67" s="58"/>
      <c r="X67" s="2"/>
      <c r="Y67" s="129"/>
      <c r="Z67" s="111"/>
      <c r="AA67" s="139"/>
    </row>
    <row r="68" spans="1:55" ht="14.9" customHeight="1">
      <c r="A68" s="140"/>
      <c r="B68" s="111"/>
      <c r="C68" s="111"/>
      <c r="D68" s="111"/>
      <c r="E68" s="141"/>
      <c r="F68" s="2"/>
      <c r="G68" s="141"/>
      <c r="H68" s="2"/>
      <c r="I68" s="141"/>
      <c r="J68" s="2"/>
      <c r="K68" s="141"/>
      <c r="L68" s="2"/>
      <c r="M68" s="141"/>
      <c r="N68" s="2"/>
      <c r="O68" s="141"/>
      <c r="P68" s="2"/>
      <c r="Q68" s="141"/>
      <c r="R68" s="2"/>
      <c r="S68" s="141"/>
      <c r="T68" s="2"/>
      <c r="U68" s="141"/>
      <c r="V68" s="2"/>
      <c r="W68" s="141"/>
      <c r="X68" s="2"/>
      <c r="Y68" s="129"/>
      <c r="Z68" s="111"/>
      <c r="AA68" s="139"/>
    </row>
    <row r="69" spans="1:55" ht="14.9" customHeight="1">
      <c r="A69" s="140"/>
      <c r="B69" s="111" t="s">
        <v>358</v>
      </c>
      <c r="C69" s="111"/>
      <c r="D69" s="111"/>
      <c r="E69" s="58">
        <v>4</v>
      </c>
      <c r="F69" s="2"/>
      <c r="G69" s="58">
        <v>4</v>
      </c>
      <c r="H69" s="2"/>
      <c r="I69" s="58"/>
      <c r="J69" s="2"/>
      <c r="K69" s="58"/>
      <c r="L69" s="2"/>
      <c r="M69" s="58"/>
      <c r="N69" s="2"/>
      <c r="O69" s="58"/>
      <c r="P69" s="2"/>
      <c r="Q69" s="58"/>
      <c r="R69" s="2"/>
      <c r="S69" s="58"/>
      <c r="T69" s="2"/>
      <c r="U69" s="58"/>
      <c r="V69" s="2"/>
      <c r="W69" s="58"/>
      <c r="X69" s="2"/>
      <c r="Y69" s="129"/>
      <c r="Z69" s="111"/>
      <c r="AA69" s="139"/>
    </row>
    <row r="70" spans="1:55" ht="14.9" customHeight="1">
      <c r="A70" s="140"/>
      <c r="B70" s="111"/>
      <c r="C70" s="111"/>
      <c r="D70" s="111"/>
      <c r="E70" s="141"/>
      <c r="F70" s="2"/>
      <c r="G70" s="141"/>
      <c r="H70" s="2"/>
      <c r="I70" s="141"/>
      <c r="J70" s="2"/>
      <c r="K70" s="141"/>
      <c r="L70" s="2"/>
      <c r="M70" s="141"/>
      <c r="N70" s="2"/>
      <c r="O70" s="141"/>
      <c r="P70" s="2"/>
      <c r="Q70" s="141"/>
      <c r="R70" s="2"/>
      <c r="S70" s="141"/>
      <c r="T70" s="2"/>
      <c r="U70" s="141"/>
      <c r="V70" s="2"/>
      <c r="W70" s="141"/>
      <c r="X70" s="2"/>
      <c r="Y70" s="129"/>
      <c r="Z70" s="111"/>
      <c r="AA70" s="139"/>
    </row>
    <row r="71" spans="1:55">
      <c r="A71" s="140"/>
      <c r="B71" s="111" t="s">
        <v>25</v>
      </c>
      <c r="C71" s="111"/>
      <c r="D71" s="111"/>
      <c r="E71" s="342">
        <f>IF((E69+E67)&gt;0,AVERAGE(E67,E69),"")</f>
        <v>4</v>
      </c>
      <c r="F71" s="2"/>
      <c r="G71" s="342">
        <f>IF((G69+G67)&gt;0,AVERAGE(G67,G69),"")</f>
        <v>4</v>
      </c>
      <c r="H71" s="2"/>
      <c r="I71" s="342" t="str">
        <f>IF((I69+I67)&gt;0,AVERAGE(I67,I69),"")</f>
        <v/>
      </c>
      <c r="J71" s="2"/>
      <c r="K71" s="342" t="str">
        <f>IF((K69+K67)&gt;0,AVERAGE(K67,K69),"")</f>
        <v/>
      </c>
      <c r="L71" s="2"/>
      <c r="M71" s="342" t="str">
        <f>IF((M69+M67)&gt;0,AVERAGE(M67,M69),"")</f>
        <v/>
      </c>
      <c r="N71" s="2"/>
      <c r="O71" s="342" t="str">
        <f>IF((O69+O67)&gt;0,AVERAGE(O67,O69),"")</f>
        <v/>
      </c>
      <c r="P71" s="2"/>
      <c r="Q71" s="342" t="str">
        <f>IF((Q69+Q67)&gt;0,AVERAGE(Q67,Q69),"")</f>
        <v/>
      </c>
      <c r="R71" s="2"/>
      <c r="S71" s="342" t="str">
        <f>IF((S69+S67)&gt;0,AVERAGE(S67,S69),"")</f>
        <v/>
      </c>
      <c r="T71" s="2"/>
      <c r="U71" s="342" t="str">
        <f>IF((U69+U67)&gt;0,AVERAGE(U67,U69),"")</f>
        <v/>
      </c>
      <c r="V71" s="2"/>
      <c r="W71" s="342" t="str">
        <f>IF((W69+W67)&gt;0,AVERAGE(W67,W69),"")</f>
        <v/>
      </c>
      <c r="X71" s="2"/>
      <c r="Y71" s="129" t="s">
        <v>25</v>
      </c>
      <c r="Z71" s="111"/>
      <c r="AA71" s="142">
        <f>SUM(IF(ISNUMBER(E71),$E$9*E71,0),IF(ISNUMBER(G71),$G$9*G71,0),IF(ISNUMBER(I71),$I$9*I71,0),IF(ISNUMBER(K71),$K$9*K71,0),IF(ISNUMBER(M71),$M$9*M71,0),IF(ISNUMBER(O71),$O$9*O71,0),IF(ISNUMBER(Q71),$Q$9*Q71,0),IF(ISNUMBER(S71),$S$9*S71,0),IF(ISNUMBER(U71),$U$9*U71,0),IF(ISNUMBER(W71),$W$9*W71,0))/SUM(IF(ISNUMBER(E71),$E$9,0),IF(ISNUMBER(G71),$G$9,0),IF(ISNUMBER(I71),$I$9,0),IF(ISNUMBER(K71),$K$9,0),IF(ISNUMBER(M71),$M$9,0),IF(ISNUMBER(O71),$O$9,0),IF(ISNUMBER(Q71),$Q$9,0),IF(ISNUMBER(S71),$S$9,0),IF(ISNUMBER(U71),$U$9,0),IF(ISNUMBER(W71),$W$9,0))</f>
        <v>4</v>
      </c>
    </row>
    <row r="72" spans="1:55">
      <c r="A72" s="143"/>
      <c r="B72" s="111"/>
      <c r="C72" s="111"/>
      <c r="D72" s="111"/>
      <c r="E72" s="160"/>
      <c r="F72" s="2"/>
      <c r="G72" s="160"/>
      <c r="H72" s="2"/>
      <c r="I72" s="160"/>
      <c r="J72" s="2"/>
      <c r="K72" s="160"/>
      <c r="L72" s="2"/>
      <c r="M72" s="160"/>
      <c r="N72" s="2"/>
      <c r="O72" s="160"/>
      <c r="P72" s="2"/>
      <c r="Q72" s="160"/>
      <c r="R72" s="2"/>
      <c r="S72" s="160"/>
      <c r="T72" s="2"/>
      <c r="U72" s="160"/>
      <c r="V72" s="2"/>
      <c r="W72" s="160"/>
      <c r="X72" s="2"/>
      <c r="Y72" s="129"/>
      <c r="Z72" s="111"/>
      <c r="AA72" s="174"/>
    </row>
    <row r="73" spans="1:55" ht="17.899999999999999" customHeight="1">
      <c r="A73" s="175"/>
      <c r="B73" s="145" t="s">
        <v>24</v>
      </c>
      <c r="C73" s="145"/>
      <c r="D73" s="145"/>
      <c r="E73" s="146">
        <f>IF(ISNUMBER(E65),AVERAGE(E65,E71),"")</f>
        <v>4</v>
      </c>
      <c r="F73" s="3"/>
      <c r="G73" s="146">
        <f>IF(ISNUMBER(G65),AVERAGE(G65,G71),"")</f>
        <v>3.75</v>
      </c>
      <c r="H73" s="3"/>
      <c r="I73" s="146" t="str">
        <f>IF(ISNUMBER(I65),AVERAGE(I65,I71),"")</f>
        <v/>
      </c>
      <c r="J73" s="3"/>
      <c r="K73" s="146" t="str">
        <f>IF(ISNUMBER(K65),AVERAGE(K65,K71),"")</f>
        <v/>
      </c>
      <c r="L73" s="3"/>
      <c r="M73" s="146" t="str">
        <f>IF(ISNUMBER(M65),AVERAGE(M65,M71),"")</f>
        <v/>
      </c>
      <c r="N73" s="3"/>
      <c r="O73" s="146" t="str">
        <f>IF(ISNUMBER(O65),AVERAGE(O65,O71),"")</f>
        <v/>
      </c>
      <c r="P73" s="3"/>
      <c r="Q73" s="146" t="str">
        <f>IF(ISNUMBER(Q65),AVERAGE(Q65,Q71),"")</f>
        <v/>
      </c>
      <c r="R73" s="3"/>
      <c r="S73" s="146" t="str">
        <f>IF(ISNUMBER(S65),AVERAGE(S65,S71),"")</f>
        <v/>
      </c>
      <c r="T73" s="3"/>
      <c r="U73" s="146" t="str">
        <f>IF(ISNUMBER(U65),AVERAGE(U65,U71),"")</f>
        <v/>
      </c>
      <c r="V73" s="3"/>
      <c r="W73" s="146" t="str">
        <f>IF(ISNUMBER(W65),AVERAGE(W65,W71),"")</f>
        <v/>
      </c>
      <c r="X73" s="3"/>
      <c r="Y73" s="417" t="s">
        <v>24</v>
      </c>
      <c r="Z73" s="418"/>
      <c r="AA73" s="149">
        <f>AVERAGE(AA65:AA71)</f>
        <v>3.9069148936170213</v>
      </c>
    </row>
    <row r="74" spans="1:55" ht="14.9" customHeight="1">
      <c r="A74" s="182"/>
      <c r="B74" s="151"/>
      <c r="C74" s="151"/>
      <c r="D74" s="151"/>
      <c r="E74" s="183"/>
      <c r="F74" s="4"/>
      <c r="G74" s="183"/>
      <c r="H74" s="4"/>
      <c r="I74" s="183"/>
      <c r="J74" s="4"/>
      <c r="K74" s="183"/>
      <c r="L74" s="4"/>
      <c r="M74" s="183"/>
      <c r="N74" s="4"/>
      <c r="O74" s="183"/>
      <c r="P74" s="4"/>
      <c r="Q74" s="183"/>
      <c r="R74" s="4"/>
      <c r="S74" s="183"/>
      <c r="T74" s="4"/>
      <c r="U74" s="183"/>
      <c r="V74" s="4"/>
      <c r="W74" s="183"/>
      <c r="X74" s="4"/>
      <c r="Y74" s="153"/>
      <c r="Z74" s="151"/>
      <c r="AA74" s="184"/>
    </row>
    <row r="75" spans="1:55" ht="15" customHeight="1">
      <c r="A75" s="185"/>
      <c r="B75" s="420" t="s">
        <v>30</v>
      </c>
      <c r="C75" s="420"/>
      <c r="D75" s="420"/>
      <c r="E75" s="186">
        <f>IF(COUNT(E16,E33,E39,E45,E59,E73)&gt;0,SUM(E16,E33,E39,E45,E59,E73)/COUNT(E16,E33,E39,E45,E59,E73),"")</f>
        <v>3.6666666666666665</v>
      </c>
      <c r="F75" s="2"/>
      <c r="G75" s="186">
        <f>IF(COUNT(G16,G33,G39,G45,G59,G73)&gt;0,SUM(G16,G33,G39,G45,G59,G73)/COUNT(G16,G33,G39,G45,G59,G73),"")</f>
        <v>4.375</v>
      </c>
      <c r="H75" s="2"/>
      <c r="I75" s="186" t="str">
        <f>IF(COUNT(I16,I33,I39,I45,I59,I73)&gt;0,SUM(I16,I33,I39,I45,I59,I73)/COUNT(I16,I33,I39,I45,I59,I73),"")</f>
        <v/>
      </c>
      <c r="J75" s="2"/>
      <c r="K75" s="186" t="str">
        <f>IF(COUNT(K16,K33,K39,K45,K59,K73)&gt;0,SUM(K16,K33,K39,K45,K59,K73)/COUNT(K16,K33,K39,K45,K59,K73),"")</f>
        <v/>
      </c>
      <c r="L75" s="2"/>
      <c r="M75" s="186" t="str">
        <f>IF(COUNT(M16,M33,M39,M45,M59,M73)&gt;0,SUM(M16,M33,M39,M45,M59,M73)/COUNT(M16,M33,M39,M45,M59,M73),"")</f>
        <v/>
      </c>
      <c r="N75" s="2"/>
      <c r="O75" s="186" t="str">
        <f>IF(COUNT(O16,O33,O39,O45,O59,O73)&gt;0,SUM(O16,O33,O39,O45,O59,O73)/COUNT(O16,O33,O39,O45,O59,O73),"")</f>
        <v/>
      </c>
      <c r="P75" s="2"/>
      <c r="Q75" s="186" t="str">
        <f>IF(COUNT(Q16,Q33,Q39,Q45,Q59,Q73)&gt;0,SUM(Q16,Q33,Q39,Q45,Q59,Q73)/COUNT(Q16,Q33,Q39,Q45,Q59,Q73),"")</f>
        <v/>
      </c>
      <c r="R75" s="2"/>
      <c r="S75" s="186" t="str">
        <f>IF(COUNT(S16,S33,S39,S45,S59,S73)&gt;0,SUM(S16,S33,S39,S45,S59,S73)/COUNT(S16,S33,S39,S45,S59,S73),"")</f>
        <v/>
      </c>
      <c r="T75" s="2"/>
      <c r="U75" s="186" t="str">
        <f>IF(COUNT(U16,U33,U39,U45,U59,U73)&gt;0,SUM(U16,U33,U39,U45,U59,U73)/COUNT(U16,U33,U39,U45,U59,U73),"")</f>
        <v/>
      </c>
      <c r="V75" s="2"/>
      <c r="W75" s="186" t="str">
        <f>IF(COUNT(W16,W33,W39,W45,W59,W73)&gt;0,SUM(W16,W33,W39,W45,W59,W73)/COUNT(W16,W33,W39,W45,W59,W73),"")</f>
        <v/>
      </c>
      <c r="X75" s="2"/>
      <c r="Y75" s="419" t="s">
        <v>30</v>
      </c>
      <c r="Z75" s="420"/>
      <c r="AA75" s="169">
        <f>AVERAGE(AA16,AA33,AA39,AA45,AA59,AA73)</f>
        <v>3.9459219858156032</v>
      </c>
    </row>
    <row r="76" spans="1:55" s="1" customFormat="1" ht="15" thickBot="1">
      <c r="A76" s="187"/>
      <c r="B76" s="148"/>
      <c r="C76" s="148"/>
      <c r="D76" s="148"/>
      <c r="E76" s="188"/>
      <c r="F76" s="3"/>
      <c r="G76" s="188"/>
      <c r="H76" s="3"/>
      <c r="I76" s="188"/>
      <c r="J76" s="3"/>
      <c r="K76" s="188"/>
      <c r="L76" s="3"/>
      <c r="M76" s="188"/>
      <c r="N76" s="3"/>
      <c r="O76" s="188"/>
      <c r="P76" s="3"/>
      <c r="Q76" s="188"/>
      <c r="R76" s="188"/>
      <c r="S76" s="188"/>
      <c r="T76" s="3"/>
      <c r="U76" s="188"/>
      <c r="V76" s="3"/>
      <c r="W76" s="188"/>
      <c r="X76" s="3"/>
      <c r="Y76" s="189"/>
      <c r="Z76" s="190"/>
      <c r="AA76" s="191"/>
      <c r="AB76"/>
      <c r="AC76"/>
      <c r="AD76"/>
      <c r="AE76"/>
      <c r="AF76"/>
      <c r="AG76"/>
      <c r="AH76"/>
      <c r="AI76"/>
      <c r="AJ76"/>
      <c r="AK76"/>
      <c r="AL76"/>
      <c r="AM76"/>
      <c r="AN76"/>
      <c r="AO76"/>
      <c r="AP76"/>
      <c r="AQ76"/>
      <c r="AR76"/>
      <c r="AS76"/>
      <c r="AT76"/>
      <c r="AU76"/>
      <c r="AV76"/>
      <c r="AW76"/>
      <c r="AX76"/>
      <c r="AY76"/>
      <c r="AZ76"/>
      <c r="BA76"/>
      <c r="BB76"/>
      <c r="BC76"/>
    </row>
    <row r="77" spans="1:55">
      <c r="F77"/>
      <c r="H77"/>
      <c r="J77"/>
    </row>
    <row r="78" spans="1:55">
      <c r="F78"/>
      <c r="H78"/>
      <c r="J78"/>
    </row>
    <row r="79" spans="1:55">
      <c r="F79"/>
      <c r="H79"/>
      <c r="J79"/>
    </row>
    <row r="80" spans="1:55">
      <c r="F80"/>
      <c r="H80"/>
      <c r="J80"/>
    </row>
    <row r="81" spans="6:10">
      <c r="F81"/>
      <c r="H81"/>
      <c r="J81"/>
    </row>
    <row r="82" spans="6:10">
      <c r="F82"/>
      <c r="H82"/>
      <c r="J82"/>
    </row>
    <row r="83" spans="6:10">
      <c r="F83"/>
      <c r="H83"/>
      <c r="J83"/>
    </row>
    <row r="84" spans="6:10">
      <c r="F84"/>
      <c r="H84"/>
      <c r="J84"/>
    </row>
    <row r="85" spans="6:10">
      <c r="F85"/>
      <c r="H85"/>
      <c r="J85"/>
    </row>
    <row r="86" spans="6:10">
      <c r="F86"/>
      <c r="H86"/>
      <c r="J86"/>
    </row>
    <row r="87" spans="6:10">
      <c r="F87"/>
      <c r="H87"/>
      <c r="J87"/>
    </row>
    <row r="88" spans="6:10">
      <c r="F88"/>
      <c r="H88"/>
      <c r="J88"/>
    </row>
    <row r="89" spans="6:10">
      <c r="F89"/>
      <c r="H89"/>
      <c r="J89"/>
    </row>
    <row r="90" spans="6:10">
      <c r="F90"/>
      <c r="H90"/>
      <c r="J90"/>
    </row>
    <row r="91" spans="6:10">
      <c r="F91"/>
      <c r="H91"/>
      <c r="J91"/>
    </row>
    <row r="92" spans="6:10">
      <c r="F92"/>
      <c r="H92"/>
      <c r="J92"/>
    </row>
    <row r="93" spans="6:10">
      <c r="F93"/>
      <c r="H93"/>
      <c r="J93"/>
    </row>
    <row r="94" spans="6:10">
      <c r="F94"/>
      <c r="H94"/>
      <c r="J94"/>
    </row>
    <row r="95" spans="6:10">
      <c r="F95"/>
      <c r="H95"/>
      <c r="J95"/>
    </row>
    <row r="96" spans="6:10">
      <c r="F96"/>
      <c r="H96"/>
      <c r="J96"/>
    </row>
    <row r="97" spans="6:10">
      <c r="F97"/>
      <c r="H97"/>
      <c r="J97"/>
    </row>
    <row r="98" spans="6:10">
      <c r="F98"/>
      <c r="H98"/>
      <c r="J98"/>
    </row>
    <row r="99" spans="6:10">
      <c r="F99"/>
      <c r="H99"/>
      <c r="J99"/>
    </row>
    <row r="100" spans="6:10">
      <c r="F100"/>
      <c r="H100"/>
      <c r="J100"/>
    </row>
    <row r="101" spans="6:10">
      <c r="F101"/>
      <c r="H101"/>
      <c r="J101"/>
    </row>
    <row r="102" spans="6:10">
      <c r="F102"/>
      <c r="H102"/>
      <c r="J102"/>
    </row>
    <row r="103" spans="6:10">
      <c r="F103"/>
      <c r="H103"/>
      <c r="J103"/>
    </row>
    <row r="104" spans="6:10">
      <c r="F104"/>
      <c r="H104"/>
      <c r="J104"/>
    </row>
    <row r="105" spans="6:10">
      <c r="F105"/>
      <c r="H105"/>
      <c r="J105"/>
    </row>
    <row r="106" spans="6:10">
      <c r="F106"/>
      <c r="H106"/>
      <c r="J106"/>
    </row>
    <row r="107" spans="6:10">
      <c r="F107"/>
      <c r="H107"/>
      <c r="J107"/>
    </row>
    <row r="108" spans="6:10">
      <c r="F108"/>
      <c r="H108"/>
      <c r="J108"/>
    </row>
    <row r="109" spans="6:10">
      <c r="F109"/>
      <c r="H109"/>
      <c r="J109"/>
    </row>
    <row r="110" spans="6:10">
      <c r="F110"/>
      <c r="H110"/>
      <c r="J110"/>
    </row>
    <row r="111" spans="6:10">
      <c r="F111"/>
      <c r="H111"/>
      <c r="J111"/>
    </row>
    <row r="112" spans="6:10">
      <c r="F112"/>
      <c r="H112"/>
      <c r="J112"/>
    </row>
    <row r="113" spans="6:10">
      <c r="F113"/>
      <c r="H113"/>
      <c r="J113"/>
    </row>
    <row r="114" spans="6:10">
      <c r="F114"/>
      <c r="H114"/>
      <c r="J114"/>
    </row>
    <row r="115" spans="6:10">
      <c r="F115"/>
      <c r="H115"/>
      <c r="J115"/>
    </row>
    <row r="116" spans="6:10">
      <c r="F116"/>
      <c r="H116"/>
      <c r="J116"/>
    </row>
    <row r="117" spans="6:10">
      <c r="F117"/>
      <c r="H117"/>
      <c r="J117"/>
    </row>
    <row r="118" spans="6:10">
      <c r="F118"/>
      <c r="H118"/>
      <c r="J118"/>
    </row>
    <row r="119" spans="6:10">
      <c r="F119"/>
      <c r="H119"/>
      <c r="J119"/>
    </row>
    <row r="120" spans="6:10">
      <c r="F120"/>
      <c r="H120"/>
      <c r="J120"/>
    </row>
    <row r="121" spans="6:10">
      <c r="F121"/>
      <c r="H121"/>
      <c r="J121"/>
    </row>
    <row r="122" spans="6:10">
      <c r="F122"/>
      <c r="H122"/>
      <c r="J122"/>
    </row>
    <row r="123" spans="6:10">
      <c r="F123"/>
      <c r="H123"/>
      <c r="J123"/>
    </row>
    <row r="124" spans="6:10">
      <c r="F124"/>
      <c r="H124"/>
      <c r="J124"/>
    </row>
    <row r="125" spans="6:10">
      <c r="F125"/>
      <c r="H125"/>
      <c r="J125"/>
    </row>
    <row r="126" spans="6:10">
      <c r="F126"/>
      <c r="H126"/>
      <c r="J126"/>
    </row>
    <row r="127" spans="6:10">
      <c r="F127"/>
      <c r="H127"/>
      <c r="J127"/>
    </row>
    <row r="128" spans="6:10">
      <c r="F128"/>
      <c r="H128"/>
      <c r="J128"/>
    </row>
    <row r="129" spans="6:10">
      <c r="F129"/>
      <c r="H129"/>
      <c r="J129"/>
    </row>
    <row r="130" spans="6:10">
      <c r="F130"/>
      <c r="H130"/>
      <c r="J130"/>
    </row>
    <row r="131" spans="6:10">
      <c r="F131"/>
      <c r="H131"/>
      <c r="J131"/>
    </row>
    <row r="132" spans="6:10">
      <c r="F132"/>
      <c r="H132"/>
      <c r="J132"/>
    </row>
    <row r="133" spans="6:10">
      <c r="F133"/>
      <c r="H133"/>
      <c r="J133"/>
    </row>
    <row r="134" spans="6:10">
      <c r="F134"/>
      <c r="H134"/>
      <c r="J134"/>
    </row>
    <row r="135" spans="6:10">
      <c r="F135"/>
      <c r="H135"/>
      <c r="J135"/>
    </row>
    <row r="136" spans="6:10">
      <c r="F136"/>
      <c r="H136"/>
      <c r="J136"/>
    </row>
    <row r="137" spans="6:10">
      <c r="F137"/>
      <c r="H137"/>
      <c r="J137"/>
    </row>
    <row r="138" spans="6:10">
      <c r="F138"/>
      <c r="H138"/>
      <c r="J138"/>
    </row>
    <row r="139" spans="6:10">
      <c r="F139"/>
      <c r="H139"/>
      <c r="J139"/>
    </row>
    <row r="140" spans="6:10">
      <c r="F140"/>
      <c r="H140"/>
      <c r="J140"/>
    </row>
    <row r="141" spans="6:10">
      <c r="F141"/>
      <c r="H141"/>
      <c r="J141"/>
    </row>
    <row r="142" spans="6:10">
      <c r="F142"/>
      <c r="H142"/>
      <c r="J142"/>
    </row>
    <row r="143" spans="6:10">
      <c r="F143"/>
      <c r="H143"/>
      <c r="J143"/>
    </row>
    <row r="144" spans="6:10">
      <c r="F144"/>
      <c r="H144"/>
      <c r="J144"/>
    </row>
    <row r="145" spans="6:10">
      <c r="F145"/>
      <c r="H145"/>
      <c r="J145"/>
    </row>
    <row r="146" spans="6:10">
      <c r="F146"/>
      <c r="H146"/>
      <c r="J146"/>
    </row>
    <row r="147" spans="6:10">
      <c r="F147"/>
      <c r="H147"/>
      <c r="J147"/>
    </row>
    <row r="148" spans="6:10">
      <c r="F148"/>
      <c r="H148"/>
      <c r="J148"/>
    </row>
    <row r="149" spans="6:10">
      <c r="F149"/>
      <c r="H149"/>
      <c r="J149"/>
    </row>
    <row r="150" spans="6:10">
      <c r="F150"/>
      <c r="H150"/>
      <c r="J150"/>
    </row>
    <row r="151" spans="6:10">
      <c r="F151"/>
      <c r="H151"/>
      <c r="J151"/>
    </row>
    <row r="152" spans="6:10">
      <c r="F152"/>
      <c r="H152"/>
      <c r="J152"/>
    </row>
    <row r="153" spans="6:10">
      <c r="F153"/>
      <c r="H153"/>
      <c r="J153"/>
    </row>
    <row r="154" spans="6:10">
      <c r="F154"/>
      <c r="H154"/>
      <c r="J154"/>
    </row>
    <row r="155" spans="6:10">
      <c r="F155"/>
      <c r="H155"/>
      <c r="J155"/>
    </row>
    <row r="156" spans="6:10">
      <c r="F156"/>
      <c r="H156"/>
      <c r="J156"/>
    </row>
    <row r="157" spans="6:10">
      <c r="F157"/>
      <c r="H157"/>
      <c r="J157"/>
    </row>
    <row r="158" spans="6:10">
      <c r="F158"/>
      <c r="H158"/>
      <c r="J158"/>
    </row>
    <row r="159" spans="6:10">
      <c r="F159"/>
      <c r="H159"/>
      <c r="J159"/>
    </row>
    <row r="160" spans="6:10">
      <c r="F160"/>
      <c r="H160"/>
      <c r="J160"/>
    </row>
    <row r="161" spans="6:10">
      <c r="F161"/>
      <c r="H161"/>
      <c r="J161"/>
    </row>
    <row r="162" spans="6:10">
      <c r="F162"/>
      <c r="H162"/>
      <c r="J162"/>
    </row>
    <row r="163" spans="6:10">
      <c r="F163"/>
      <c r="H163"/>
      <c r="J163"/>
    </row>
    <row r="164" spans="6:10">
      <c r="F164"/>
      <c r="H164"/>
      <c r="J164"/>
    </row>
    <row r="165" spans="6:10">
      <c r="F165"/>
      <c r="H165"/>
      <c r="J165"/>
    </row>
    <row r="166" spans="6:10">
      <c r="F166"/>
      <c r="H166"/>
      <c r="J166"/>
    </row>
    <row r="167" spans="6:10">
      <c r="F167"/>
      <c r="H167"/>
      <c r="J167"/>
    </row>
    <row r="168" spans="6:10">
      <c r="F168"/>
      <c r="H168"/>
      <c r="J168"/>
    </row>
    <row r="169" spans="6:10">
      <c r="F169"/>
      <c r="H169"/>
      <c r="J169"/>
    </row>
    <row r="170" spans="6:10">
      <c r="F170"/>
      <c r="H170"/>
      <c r="J170"/>
    </row>
    <row r="171" spans="6:10">
      <c r="F171"/>
      <c r="H171"/>
      <c r="J171"/>
    </row>
    <row r="172" spans="6:10">
      <c r="F172"/>
      <c r="H172"/>
      <c r="J172"/>
    </row>
    <row r="173" spans="6:10">
      <c r="F173"/>
      <c r="H173"/>
      <c r="J173"/>
    </row>
    <row r="174" spans="6:10">
      <c r="F174"/>
      <c r="H174"/>
      <c r="J174"/>
    </row>
    <row r="175" spans="6:10">
      <c r="F175"/>
      <c r="H175"/>
      <c r="J175"/>
    </row>
    <row r="176" spans="6:10">
      <c r="F176"/>
      <c r="H176"/>
      <c r="J176"/>
    </row>
    <row r="177" spans="6:10">
      <c r="F177"/>
      <c r="H177"/>
      <c r="J177"/>
    </row>
    <row r="178" spans="6:10">
      <c r="F178"/>
      <c r="H178"/>
      <c r="J178"/>
    </row>
    <row r="179" spans="6:10">
      <c r="F179"/>
      <c r="H179"/>
      <c r="J179"/>
    </row>
    <row r="180" spans="6:10">
      <c r="F180"/>
      <c r="H180"/>
      <c r="J180"/>
    </row>
    <row r="181" spans="6:10">
      <c r="F181"/>
      <c r="H181"/>
      <c r="J181"/>
    </row>
    <row r="182" spans="6:10">
      <c r="F182"/>
      <c r="H182"/>
      <c r="J182"/>
    </row>
    <row r="183" spans="6:10">
      <c r="F183"/>
      <c r="H183"/>
      <c r="J183"/>
    </row>
    <row r="184" spans="6:10">
      <c r="F184"/>
      <c r="H184"/>
      <c r="J184"/>
    </row>
    <row r="185" spans="6:10">
      <c r="F185"/>
      <c r="H185"/>
      <c r="J185"/>
    </row>
    <row r="186" spans="6:10">
      <c r="F186"/>
      <c r="H186"/>
      <c r="J186"/>
    </row>
    <row r="187" spans="6:10">
      <c r="F187"/>
      <c r="H187"/>
      <c r="J187"/>
    </row>
    <row r="188" spans="6:10">
      <c r="F188"/>
      <c r="H188"/>
      <c r="J188"/>
    </row>
    <row r="189" spans="6:10">
      <c r="F189"/>
      <c r="H189"/>
      <c r="J189"/>
    </row>
    <row r="190" spans="6:10">
      <c r="F190"/>
      <c r="H190"/>
      <c r="J190"/>
    </row>
    <row r="191" spans="6:10">
      <c r="F191"/>
      <c r="H191"/>
      <c r="J191"/>
    </row>
    <row r="192" spans="6:10">
      <c r="F192"/>
      <c r="H192"/>
      <c r="J192"/>
    </row>
    <row r="193" spans="6:10">
      <c r="F193"/>
      <c r="H193"/>
      <c r="J193"/>
    </row>
    <row r="194" spans="6:10">
      <c r="F194"/>
      <c r="H194"/>
      <c r="J194"/>
    </row>
    <row r="195" spans="6:10">
      <c r="F195"/>
      <c r="H195"/>
      <c r="J195"/>
    </row>
    <row r="196" spans="6:10">
      <c r="F196"/>
      <c r="H196"/>
      <c r="J196"/>
    </row>
    <row r="197" spans="6:10">
      <c r="F197"/>
      <c r="H197"/>
      <c r="J197"/>
    </row>
    <row r="198" spans="6:10">
      <c r="F198"/>
      <c r="H198"/>
      <c r="J198"/>
    </row>
    <row r="199" spans="6:10">
      <c r="F199"/>
      <c r="H199"/>
      <c r="J199"/>
    </row>
    <row r="200" spans="6:10">
      <c r="F200"/>
      <c r="H200"/>
      <c r="J200"/>
    </row>
    <row r="201" spans="6:10">
      <c r="F201"/>
      <c r="H201"/>
      <c r="J201"/>
    </row>
    <row r="202" spans="6:10">
      <c r="F202"/>
      <c r="H202"/>
      <c r="J202"/>
    </row>
    <row r="203" spans="6:10">
      <c r="F203"/>
      <c r="H203"/>
      <c r="J203"/>
    </row>
    <row r="204" spans="6:10">
      <c r="F204"/>
      <c r="H204"/>
      <c r="J204"/>
    </row>
    <row r="205" spans="6:10">
      <c r="F205"/>
      <c r="H205"/>
      <c r="J205"/>
    </row>
    <row r="206" spans="6:10">
      <c r="F206"/>
      <c r="H206"/>
      <c r="J206"/>
    </row>
    <row r="207" spans="6:10">
      <c r="F207"/>
      <c r="H207"/>
      <c r="J207"/>
    </row>
    <row r="208" spans="6:10">
      <c r="F208"/>
      <c r="H208"/>
      <c r="J208"/>
    </row>
    <row r="209" spans="6:10">
      <c r="F209"/>
      <c r="H209"/>
      <c r="J209"/>
    </row>
    <row r="210" spans="6:10">
      <c r="F210"/>
      <c r="H210"/>
      <c r="J210"/>
    </row>
    <row r="211" spans="6:10">
      <c r="F211"/>
      <c r="H211"/>
      <c r="J211"/>
    </row>
    <row r="212" spans="6:10">
      <c r="F212"/>
      <c r="H212"/>
      <c r="J212"/>
    </row>
    <row r="213" spans="6:10">
      <c r="F213"/>
      <c r="H213"/>
      <c r="J213"/>
    </row>
    <row r="214" spans="6:10">
      <c r="F214"/>
      <c r="H214"/>
      <c r="J214"/>
    </row>
    <row r="215" spans="6:10">
      <c r="F215"/>
      <c r="H215"/>
      <c r="J215"/>
    </row>
    <row r="216" spans="6:10">
      <c r="F216"/>
      <c r="H216"/>
      <c r="J216"/>
    </row>
    <row r="217" spans="6:10">
      <c r="F217"/>
      <c r="H217"/>
      <c r="J217"/>
    </row>
    <row r="218" spans="6:10">
      <c r="F218"/>
      <c r="H218"/>
      <c r="J218"/>
    </row>
    <row r="219" spans="6:10">
      <c r="F219"/>
      <c r="H219"/>
      <c r="J219"/>
    </row>
    <row r="220" spans="6:10">
      <c r="F220"/>
      <c r="H220"/>
      <c r="J220"/>
    </row>
    <row r="221" spans="6:10">
      <c r="F221"/>
      <c r="H221"/>
      <c r="J221"/>
    </row>
    <row r="222" spans="6:10">
      <c r="F222"/>
      <c r="H222"/>
      <c r="J222"/>
    </row>
    <row r="223" spans="6:10">
      <c r="F223"/>
      <c r="H223"/>
      <c r="J223"/>
    </row>
    <row r="224" spans="6:10">
      <c r="F224"/>
      <c r="H224"/>
      <c r="J224"/>
    </row>
    <row r="225" spans="6:10">
      <c r="F225"/>
      <c r="H225"/>
      <c r="J225"/>
    </row>
    <row r="226" spans="6:10">
      <c r="F226"/>
      <c r="H226"/>
      <c r="J226"/>
    </row>
    <row r="227" spans="6:10">
      <c r="F227"/>
      <c r="H227"/>
      <c r="J227"/>
    </row>
    <row r="228" spans="6:10">
      <c r="F228"/>
      <c r="H228"/>
      <c r="J228"/>
    </row>
  </sheetData>
  <sheetProtection algorithmName="SHA-512" hashValue="54GwddKVG3HyKfWsxOyg2lhX+ruwWO1wKTiY7PgWj+PSrqcM90P8Cu6FqH5CEKktSqqWIxcGZK8fr/7LDOCqVQ==" saltValue="Pdw50BTVqZ9zeo8hz9Xj7Q==" spinCount="100000" sheet="1" objects="1" scenarios="1"/>
  <customSheetViews>
    <customSheetView guid="{B75063BA-4717-43F8-8B16-CDCBE07E925A}" showPageBreaks="1">
      <selection activeCell="AD47" sqref="AD47"/>
    </customSheetView>
  </customSheetViews>
  <mergeCells count="13">
    <mergeCell ref="A1:AA1"/>
    <mergeCell ref="A2:AA3"/>
    <mergeCell ref="Y59:Z59"/>
    <mergeCell ref="Y73:Z73"/>
    <mergeCell ref="Y75:Z75"/>
    <mergeCell ref="Y30:Z31"/>
    <mergeCell ref="B75:D75"/>
    <mergeCell ref="Y4:AA6"/>
    <mergeCell ref="B33:C33"/>
    <mergeCell ref="B39:C39"/>
    <mergeCell ref="B45:C45"/>
    <mergeCell ref="Y39:Z39"/>
    <mergeCell ref="B30:D31"/>
  </mergeCells>
  <dataValidations count="1">
    <dataValidation type="decimal" allowBlank="1" showInputMessage="1" showErrorMessage="1" sqref="AA27 Q29:Q32 K13 O27 S29:S32 U29:U32 W29:W32 O29:O32 U23 S23 Q23 M23 O23 W23 M21 Q21 S21 U21 W21 O21 W19 U19 S19 Q19 M19 O19 M15:M17 Q15:Q17 S15:S17 U15:U17 W15:W17 K15:K17 O15:O17 W13 U13 S13 Q13 M13 O13 M29:M32 W27 U27 S27 Q27 M27 M25 Q25 S25 U25 W25 O25 I36 E36 O36 G36 M36 Q36 K36 U36 S36 W36 S34 U34 K34 Q34 M34 G34 O34 E34 I34 W34 W42 I42 E42 O42 G42 M42 Q42 K42 U42 S42 S38:S40 I38:I40 O38:O40 K38:K40 G38:G40 M38:M40 G12:G32 E38:E40 U38:U40 Q38:Q40 H54 I70:I72 S70:S72 Q70:Q72 U70:U72 G70:G72 V71 M70:M72 K70:K72 V57 E70:E72 W66 F54 W38:W40 E41:W41 E43:W43 E35:W35 E37:W37 M26:W26 M28:W28 K12:W12 K14:W14 K18:W18 M20:W20 M22:W22 E12:E32 M24:W24 K19:K32 I12:I32 J54 L54 N54 P54 R54 T54 V54 V51:V52 T51:T52 R51:R52 P51:P52 N51:N52 L51:L52 J51:J52 H51:H52 F51:F52 K44:K58 U44:U58 S44:S58 W44:W58 I44:I58 E44:E58 O44:O58 G44:G58 M44:M58 Q44:Q58 F57 H57 J57 L57 N57 P57 R57 T57 E61:W61 E67:W67 M68 G68 O68 E68 I68 W68 S68 U68 K68 Q68 O70:O72 E69:W69 F65:W65 E63:W63 E60:E66 G66 G60:G64 I66 I60:I64 K66 K60:K64 M66 M60:M64 O66 O60:O64 Q66 Q60:Q64 S66 S60:S64 U66 U60:U64 W60:W64 F71 H71 J71 L71 N71 P71 R71 T71 W70:W72" xr:uid="{A1B078EC-B1FE-4FB9-A734-42726B465AB8}">
      <formula1>1</formula1>
      <formula2>7</formula2>
    </dataValidation>
  </dataValidations>
  <pageMargins left="0.70866141732283472" right="0.70866141732283472" top="0.78740157480314965" bottom="0.78740157480314965" header="0.31496062992125984" footer="0.31496062992125984"/>
  <pageSetup paperSize="9" scale="65" orientation="landscape" r:id="rId1"/>
  <headerFooter>
    <oddHeader>&amp;L&amp;D&amp;C&amp;A&amp;R&amp;P/&amp;N</oddHeader>
  </headerFooter>
  <rowBreaks count="1" manualBreakCount="1">
    <brk id="33"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77EB3-6195-4ED2-9A42-91673834CC51}">
  <sheetPr>
    <pageSetUpPr autoPageBreaks="0"/>
  </sheetPr>
  <dimension ref="A1:AA75"/>
  <sheetViews>
    <sheetView zoomScaleNormal="100" workbookViewId="0">
      <pane ySplit="5" topLeftCell="A33" activePane="bottomLeft" state="frozen"/>
      <selection pane="bottomLeft" activeCell="F40" sqref="F40"/>
    </sheetView>
  </sheetViews>
  <sheetFormatPr baseColWidth="10" defaultRowHeight="14.5"/>
  <cols>
    <col min="1" max="1" width="5.54296875" customWidth="1"/>
    <col min="4" max="4" width="4" customWidth="1"/>
    <col min="14" max="14" width="4.54296875" customWidth="1"/>
    <col min="18" max="18" width="14" customWidth="1"/>
  </cols>
  <sheetData>
    <row r="1" spans="1:27" s="336" customFormat="1" ht="22.4" customHeight="1" thickBot="1">
      <c r="A1" s="432" t="str">
        <f>IF(Stammdaten!C5&lt;&gt;"", Stammdaten!C5,"")</f>
        <v>Revitalisierung am Gewässer XY</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row>
    <row r="2" spans="1:27" ht="23.9" customHeight="1">
      <c r="A2" s="411" t="s">
        <v>88</v>
      </c>
      <c r="B2" s="412"/>
      <c r="C2" s="412"/>
      <c r="D2" s="412"/>
      <c r="E2" s="412"/>
      <c r="F2" s="412"/>
      <c r="G2" s="412"/>
      <c r="H2" s="412"/>
      <c r="I2" s="412"/>
      <c r="J2" s="412"/>
      <c r="K2" s="412"/>
      <c r="L2" s="412"/>
      <c r="M2" s="412"/>
      <c r="N2" s="412"/>
      <c r="O2" s="412"/>
      <c r="P2" s="412"/>
      <c r="Q2" s="413"/>
    </row>
    <row r="3" spans="1:27" ht="15" thickBot="1">
      <c r="A3" s="414"/>
      <c r="B3" s="415"/>
      <c r="C3" s="415"/>
      <c r="D3" s="415"/>
      <c r="E3" s="415"/>
      <c r="F3" s="415"/>
      <c r="G3" s="415"/>
      <c r="H3" s="415"/>
      <c r="I3" s="415"/>
      <c r="J3" s="415"/>
      <c r="K3" s="415"/>
      <c r="L3" s="415"/>
      <c r="M3" s="415"/>
      <c r="N3" s="415"/>
      <c r="O3" s="415"/>
      <c r="P3" s="415"/>
      <c r="Q3" s="416"/>
    </row>
    <row r="4" spans="1:27" ht="18" customHeight="1">
      <c r="A4" s="94"/>
      <c r="B4" s="94"/>
      <c r="C4" s="94"/>
      <c r="D4" s="94"/>
      <c r="E4" s="125"/>
      <c r="F4" s="101"/>
      <c r="G4" s="193"/>
      <c r="H4" s="194"/>
      <c r="I4" s="193"/>
      <c r="J4" s="194"/>
      <c r="K4" s="193"/>
      <c r="L4" s="194"/>
      <c r="M4" s="193"/>
      <c r="N4" s="11"/>
      <c r="O4" s="423" t="s">
        <v>155</v>
      </c>
      <c r="P4" s="424"/>
      <c r="Q4" s="424"/>
      <c r="R4" s="302"/>
    </row>
    <row r="5" spans="1:27" ht="18" customHeight="1">
      <c r="A5" s="126"/>
      <c r="B5" s="126" t="s">
        <v>153</v>
      </c>
      <c r="C5" s="111"/>
      <c r="D5" s="111"/>
      <c r="E5" s="127">
        <v>1</v>
      </c>
      <c r="F5" s="2"/>
      <c r="G5" s="195">
        <v>2</v>
      </c>
      <c r="H5" s="196"/>
      <c r="I5" s="195">
        <v>3</v>
      </c>
      <c r="J5" s="196"/>
      <c r="K5" s="195">
        <v>4</v>
      </c>
      <c r="L5" s="196"/>
      <c r="M5" s="195">
        <v>5</v>
      </c>
      <c r="N5" s="11"/>
      <c r="O5" s="426"/>
      <c r="P5" s="427"/>
      <c r="Q5" s="427"/>
      <c r="R5" s="327" t="s">
        <v>100</v>
      </c>
      <c r="S5" s="301"/>
      <c r="T5" s="301"/>
    </row>
    <row r="6" spans="1:27" ht="14.9" customHeight="1">
      <c r="A6" s="122"/>
      <c r="B6" s="122"/>
      <c r="C6" s="111"/>
      <c r="D6" s="111"/>
      <c r="E6" s="128"/>
      <c r="F6" s="2"/>
      <c r="G6" s="197"/>
      <c r="H6" s="196"/>
      <c r="I6" s="197"/>
      <c r="J6" s="196"/>
      <c r="K6" s="197"/>
      <c r="L6" s="196"/>
      <c r="M6" s="197"/>
      <c r="N6" s="11"/>
      <c r="O6" s="129"/>
      <c r="P6" s="111"/>
      <c r="Q6" s="118"/>
      <c r="R6" s="303"/>
      <c r="S6" s="301"/>
      <c r="T6" s="301"/>
    </row>
    <row r="7" spans="1:27" ht="14.9" customHeight="1">
      <c r="A7" s="111"/>
      <c r="B7" s="111"/>
      <c r="C7" s="111"/>
      <c r="D7" s="111"/>
      <c r="E7" s="132"/>
      <c r="F7" s="2"/>
      <c r="G7" s="198"/>
      <c r="H7" s="196"/>
      <c r="I7" s="198"/>
      <c r="J7" s="196"/>
      <c r="K7" s="198"/>
      <c r="L7" s="196"/>
      <c r="M7" s="198"/>
      <c r="N7" s="11"/>
      <c r="O7" s="129"/>
      <c r="P7" s="111"/>
      <c r="Q7" s="118"/>
      <c r="R7" s="304"/>
    </row>
    <row r="8" spans="1:27" ht="14.9" customHeight="1">
      <c r="A8" s="112"/>
      <c r="B8" s="111" t="s">
        <v>27</v>
      </c>
      <c r="C8" s="111"/>
      <c r="D8" s="111"/>
      <c r="E8" s="55">
        <v>470</v>
      </c>
      <c r="F8" s="2"/>
      <c r="G8" s="64"/>
      <c r="H8" s="196"/>
      <c r="I8" s="64"/>
      <c r="J8" s="196"/>
      <c r="K8" s="64"/>
      <c r="L8" s="196"/>
      <c r="M8" s="64"/>
      <c r="N8" s="11"/>
      <c r="O8" s="129"/>
      <c r="P8" s="111"/>
      <c r="Q8" s="118"/>
      <c r="R8" s="304"/>
    </row>
    <row r="9" spans="1:27" ht="14.9" customHeight="1">
      <c r="A9" s="122"/>
      <c r="B9" s="122"/>
      <c r="C9" s="111"/>
      <c r="D9" s="111"/>
      <c r="E9" s="128"/>
      <c r="F9" s="2"/>
      <c r="G9" s="197"/>
      <c r="H9" s="196"/>
      <c r="I9" s="197"/>
      <c r="J9" s="196"/>
      <c r="K9" s="197"/>
      <c r="L9" s="196"/>
      <c r="M9" s="197"/>
      <c r="N9" s="11"/>
      <c r="O9" s="129"/>
      <c r="P9" s="111"/>
      <c r="Q9" s="118"/>
      <c r="R9" s="326"/>
      <c r="V9" s="199"/>
      <c r="W9" s="200"/>
      <c r="X9" s="112"/>
      <c r="Y9" s="112"/>
      <c r="Z9" s="201"/>
    </row>
    <row r="10" spans="1:27" ht="14.9" customHeight="1">
      <c r="A10" s="133"/>
      <c r="B10" s="134"/>
      <c r="C10" s="134"/>
      <c r="D10" s="134"/>
      <c r="E10" s="135"/>
      <c r="F10" s="4"/>
      <c r="G10" s="202"/>
      <c r="H10" s="203"/>
      <c r="I10" s="202"/>
      <c r="J10" s="203"/>
      <c r="K10" s="202"/>
      <c r="L10" s="203"/>
      <c r="M10" s="202"/>
      <c r="N10" s="204"/>
      <c r="O10" s="136"/>
      <c r="P10" s="134"/>
      <c r="Q10" s="305"/>
      <c r="R10" s="313"/>
      <c r="V10" s="199"/>
      <c r="W10" s="200"/>
      <c r="X10" s="112"/>
      <c r="Y10" s="112"/>
      <c r="Z10" s="201"/>
    </row>
    <row r="11" spans="1:27" ht="14.9" customHeight="1">
      <c r="A11" s="138"/>
      <c r="B11" s="111" t="s">
        <v>12</v>
      </c>
      <c r="C11" s="111"/>
      <c r="D11" s="111"/>
      <c r="E11" s="58">
        <v>4</v>
      </c>
      <c r="F11" s="2"/>
      <c r="G11" s="65"/>
      <c r="H11" s="196"/>
      <c r="I11" s="65"/>
      <c r="J11" s="196"/>
      <c r="K11" s="65"/>
      <c r="L11" s="196"/>
      <c r="M11" s="65"/>
      <c r="N11" s="11"/>
      <c r="O11" s="433" t="s">
        <v>12</v>
      </c>
      <c r="P11" s="434"/>
      <c r="Q11" s="299">
        <f>SUM((E11*$E$8),(G11*$G$8),(I11*$I$8),(K11*$K$8),(M11*$M$8))/SUM(IF(ISNUMBER(E11),$E$8,0),IF(ISNUMBER(G11),$G$8,0),IF(ISNUMBER(I11),$I$8,0),IF(ISNUMBER(K11),$K$8,0),IF(ISNUMBER(M11),$M$8,0))</f>
        <v>4</v>
      </c>
      <c r="R11" s="314">
        <f>'GeStruk-Ist'!AA12</f>
        <v>3.4893617021276597</v>
      </c>
      <c r="V11" s="199"/>
      <c r="W11" s="200"/>
      <c r="X11" s="112"/>
      <c r="Y11" s="112"/>
      <c r="Z11" s="201"/>
    </row>
    <row r="12" spans="1:27" ht="14.9" customHeight="1">
      <c r="A12" s="140"/>
      <c r="B12" s="111"/>
      <c r="C12" s="111"/>
      <c r="D12" s="111"/>
      <c r="E12" s="141"/>
      <c r="F12" s="2"/>
      <c r="G12" s="205"/>
      <c r="H12" s="196"/>
      <c r="I12" s="205"/>
      <c r="J12" s="196"/>
      <c r="K12" s="205"/>
      <c r="L12" s="196"/>
      <c r="M12" s="205"/>
      <c r="N12" s="11"/>
      <c r="O12" s="129"/>
      <c r="P12" s="111"/>
      <c r="Q12" s="296"/>
      <c r="R12" s="315"/>
      <c r="V12" s="206"/>
      <c r="W12" s="200"/>
      <c r="X12" s="112"/>
      <c r="Y12" s="112"/>
      <c r="Z12" s="207"/>
    </row>
    <row r="13" spans="1:27" ht="14.9" customHeight="1">
      <c r="A13" s="140"/>
      <c r="B13" s="111" t="s">
        <v>13</v>
      </c>
      <c r="C13" s="111"/>
      <c r="D13" s="111"/>
      <c r="E13" s="59">
        <v>5</v>
      </c>
      <c r="F13" s="2"/>
      <c r="G13" s="66"/>
      <c r="H13" s="196"/>
      <c r="I13" s="66"/>
      <c r="J13" s="196"/>
      <c r="K13" s="66"/>
      <c r="L13" s="196"/>
      <c r="M13" s="66"/>
      <c r="N13" s="11"/>
      <c r="O13" s="433" t="s">
        <v>13</v>
      </c>
      <c r="P13" s="434"/>
      <c r="Q13" s="299">
        <f>SUM((E13*$E$8),(G13*$G$8),(I13*$I$8),(K13*$K$8),(M13*$M$8))/SUM(IF(ISNUMBER(E13),$E$8,0),IF(ISNUMBER(G13),$G$8,0),IF(ISNUMBER(I13),$I$8,0),IF(ISNUMBER(K13),$K$8,0),IF(ISNUMBER(M13),$M$8,0))</f>
        <v>5</v>
      </c>
      <c r="R13" s="314">
        <f>'GeStruk-Ist'!AA14</f>
        <v>5</v>
      </c>
      <c r="V13" s="199"/>
      <c r="W13" s="200"/>
      <c r="X13" s="112"/>
      <c r="Y13" s="112"/>
      <c r="Z13" s="207"/>
    </row>
    <row r="14" spans="1:27" ht="14.9" customHeight="1">
      <c r="A14" s="143"/>
      <c r="B14" s="111"/>
      <c r="C14" s="111"/>
      <c r="D14" s="111"/>
      <c r="E14" s="144"/>
      <c r="F14" s="2"/>
      <c r="G14" s="208"/>
      <c r="H14" s="196"/>
      <c r="I14" s="208"/>
      <c r="J14" s="196"/>
      <c r="K14" s="208"/>
      <c r="L14" s="196"/>
      <c r="M14" s="208"/>
      <c r="N14" s="11"/>
      <c r="O14" s="129"/>
      <c r="P14" s="111"/>
      <c r="Q14" s="299"/>
      <c r="R14" s="314"/>
      <c r="V14" s="199"/>
      <c r="W14" s="200"/>
      <c r="X14" s="112"/>
      <c r="Y14" s="112"/>
      <c r="Z14" s="207"/>
    </row>
    <row r="15" spans="1:27" ht="15.65" customHeight="1">
      <c r="A15" s="143"/>
      <c r="B15" s="145" t="s">
        <v>4</v>
      </c>
      <c r="C15" s="145"/>
      <c r="D15" s="145"/>
      <c r="E15" s="146">
        <f>IF((E13+E11)&gt;0,AVERAGE(E11,E13),"")</f>
        <v>4.5</v>
      </c>
      <c r="F15" s="3"/>
      <c r="G15" s="209" t="str">
        <f>IF((G13+G11)&gt;0,AVERAGE(G11,G13),"")</f>
        <v/>
      </c>
      <c r="H15" s="210"/>
      <c r="I15" s="209" t="str">
        <f>IF((I13+I11)&gt;0,AVERAGE(I11,I13),"")</f>
        <v/>
      </c>
      <c r="J15" s="210"/>
      <c r="K15" s="209" t="str">
        <f>IF((K13+K11)&gt;0,AVERAGE(K11,K13),"")</f>
        <v/>
      </c>
      <c r="L15" s="210"/>
      <c r="M15" s="209" t="str">
        <f>IF((M13+M11)&gt;0,AVERAGE(M11,M13),"")</f>
        <v/>
      </c>
      <c r="N15" s="11"/>
      <c r="O15" s="435" t="s">
        <v>4</v>
      </c>
      <c r="P15" s="436"/>
      <c r="Q15" s="306">
        <f>SUM(SUM(IF(ISNUMBER(E15),$E$8*E15,0),IF(ISNUMBER(G15),$G$8*G15,0),IF(ISNUMBER(I15),$I$8*I15,0),IF(ISNUMBER(K15),$K$8*K15,0),IF(ISNUMBER(M15),$M$8*M15,0)))/SUM(IF(ISNUMBER(E15),$E$8,0),IF(ISNUMBER(G15),$G$8,0),IF(ISNUMBER(I15),$I$8,0),IF(ISNUMBER(K15),$K$8,0),IF(ISNUMBER(M15),$M$8,0))</f>
        <v>4.5</v>
      </c>
      <c r="R15" s="316">
        <f>'GeStruk-Ist'!AA16</f>
        <v>3.3031914893617023</v>
      </c>
      <c r="V15" s="199"/>
      <c r="W15" s="200"/>
      <c r="X15" s="112"/>
      <c r="Y15" s="112"/>
      <c r="Z15" s="207"/>
    </row>
    <row r="16" spans="1:27" ht="14.9" customHeight="1">
      <c r="A16" s="150"/>
      <c r="B16" s="151"/>
      <c r="C16" s="151"/>
      <c r="D16" s="151"/>
      <c r="E16" s="152"/>
      <c r="F16" s="4"/>
      <c r="G16" s="211"/>
      <c r="H16" s="203"/>
      <c r="I16" s="211"/>
      <c r="J16" s="203"/>
      <c r="K16" s="211"/>
      <c r="L16" s="203"/>
      <c r="M16" s="211"/>
      <c r="N16" s="204"/>
      <c r="O16" s="153"/>
      <c r="P16" s="151"/>
      <c r="Q16" s="307"/>
      <c r="R16" s="317"/>
      <c r="V16" s="199"/>
      <c r="W16" s="200"/>
      <c r="X16" s="112"/>
      <c r="Y16" s="112"/>
      <c r="Z16" s="207"/>
    </row>
    <row r="17" spans="1:26" ht="14.9" customHeight="1">
      <c r="A17" s="112"/>
      <c r="B17" s="111" t="s">
        <v>14</v>
      </c>
      <c r="C17" s="111"/>
      <c r="D17" s="111"/>
      <c r="E17" s="57"/>
      <c r="F17" s="2"/>
      <c r="G17" s="67"/>
      <c r="H17" s="196"/>
      <c r="I17" s="67"/>
      <c r="J17" s="196"/>
      <c r="K17" s="67"/>
      <c r="L17" s="196"/>
      <c r="M17" s="67"/>
      <c r="N17" s="11"/>
      <c r="O17" s="129"/>
      <c r="P17" s="111"/>
      <c r="Q17" s="157"/>
      <c r="R17" s="318"/>
      <c r="V17" s="199"/>
      <c r="W17" s="200"/>
      <c r="X17" s="112"/>
      <c r="Y17" s="112"/>
      <c r="Z17" s="207"/>
    </row>
    <row r="18" spans="1:26" ht="14.9" customHeight="1">
      <c r="A18" s="156"/>
      <c r="B18" s="111"/>
      <c r="C18" s="111"/>
      <c r="D18" s="111"/>
      <c r="E18" s="144"/>
      <c r="F18" s="2"/>
      <c r="G18" s="208"/>
      <c r="H18" s="196"/>
      <c r="I18" s="208"/>
      <c r="J18" s="196"/>
      <c r="K18" s="208"/>
      <c r="L18" s="196"/>
      <c r="M18" s="208"/>
      <c r="N18" s="11"/>
      <c r="O18" s="129"/>
      <c r="P18" s="111"/>
      <c r="Q18" s="299"/>
      <c r="R18" s="314"/>
      <c r="V18" s="199"/>
      <c r="W18" s="200"/>
      <c r="X18" s="112"/>
      <c r="Y18" s="112"/>
      <c r="Z18" s="207"/>
    </row>
    <row r="19" spans="1:26" ht="14.9" customHeight="1">
      <c r="A19" s="156"/>
      <c r="B19" s="111" t="s">
        <v>15</v>
      </c>
      <c r="C19" s="111"/>
      <c r="D19" s="111"/>
      <c r="E19" s="57">
        <v>7</v>
      </c>
      <c r="F19" s="2"/>
      <c r="G19" s="67"/>
      <c r="H19" s="196"/>
      <c r="I19" s="67"/>
      <c r="J19" s="196"/>
      <c r="K19" s="67"/>
      <c r="L19" s="196"/>
      <c r="M19" s="67"/>
      <c r="N19" s="11"/>
      <c r="O19" s="129"/>
      <c r="P19" s="111"/>
      <c r="Q19" s="157"/>
      <c r="R19" s="318"/>
      <c r="V19" s="199"/>
      <c r="W19" s="200"/>
      <c r="X19" s="112"/>
      <c r="Y19" s="112"/>
      <c r="Z19" s="207"/>
    </row>
    <row r="20" spans="1:26" ht="14.9" customHeight="1">
      <c r="A20" s="156"/>
      <c r="B20" s="111"/>
      <c r="C20" s="111"/>
      <c r="D20" s="111"/>
      <c r="E20" s="144"/>
      <c r="F20" s="2"/>
      <c r="G20" s="208"/>
      <c r="H20" s="196"/>
      <c r="I20" s="208"/>
      <c r="J20" s="196"/>
      <c r="K20" s="208"/>
      <c r="L20" s="196"/>
      <c r="M20" s="208"/>
      <c r="N20" s="11"/>
      <c r="O20" s="129"/>
      <c r="P20" s="111"/>
      <c r="Q20" s="299"/>
      <c r="R20" s="314"/>
      <c r="V20" s="199"/>
      <c r="W20" s="200"/>
      <c r="X20" s="112"/>
      <c r="Y20" s="112"/>
      <c r="Z20" s="112"/>
    </row>
    <row r="21" spans="1:26" ht="14.9" customHeight="1">
      <c r="A21" s="156"/>
      <c r="B21" s="111" t="s">
        <v>16</v>
      </c>
      <c r="C21" s="111"/>
      <c r="D21" s="111"/>
      <c r="E21" s="57">
        <v>1</v>
      </c>
      <c r="F21" s="2"/>
      <c r="G21" s="67"/>
      <c r="H21" s="196"/>
      <c r="I21" s="67"/>
      <c r="J21" s="196"/>
      <c r="K21" s="67"/>
      <c r="L21" s="196"/>
      <c r="M21" s="67"/>
      <c r="N21" s="11"/>
      <c r="O21" s="129"/>
      <c r="P21" s="111"/>
      <c r="Q21" s="308"/>
      <c r="R21" s="319"/>
      <c r="V21" s="199"/>
      <c r="W21" s="200"/>
      <c r="X21" s="112"/>
      <c r="Y21" s="112"/>
      <c r="Z21" s="201"/>
    </row>
    <row r="22" spans="1:26" ht="14.9" customHeight="1">
      <c r="A22" s="156"/>
      <c r="B22" s="111"/>
      <c r="C22" s="111"/>
      <c r="D22" s="111"/>
      <c r="E22" s="144"/>
      <c r="F22" s="2"/>
      <c r="G22" s="208"/>
      <c r="H22" s="196"/>
      <c r="I22" s="208"/>
      <c r="J22" s="196"/>
      <c r="K22" s="208"/>
      <c r="L22" s="196"/>
      <c r="M22" s="208"/>
      <c r="N22" s="11"/>
      <c r="O22" s="129"/>
      <c r="P22" s="111"/>
      <c r="Q22" s="299"/>
      <c r="R22" s="314"/>
      <c r="V22" s="199"/>
      <c r="W22" s="200"/>
      <c r="X22" s="112"/>
      <c r="Y22" s="112"/>
      <c r="Z22" s="112"/>
    </row>
    <row r="23" spans="1:26" ht="14.9" customHeight="1">
      <c r="A23" s="156"/>
      <c r="B23" s="111" t="s">
        <v>17</v>
      </c>
      <c r="C23" s="111"/>
      <c r="D23" s="111"/>
      <c r="E23" s="57"/>
      <c r="F23" s="2"/>
      <c r="G23" s="67"/>
      <c r="H23" s="196"/>
      <c r="I23" s="67"/>
      <c r="J23" s="196"/>
      <c r="K23" s="67"/>
      <c r="L23" s="196"/>
      <c r="M23" s="67"/>
      <c r="N23" s="11"/>
      <c r="O23" s="129"/>
      <c r="P23" s="111"/>
      <c r="Q23" s="309"/>
      <c r="R23" s="320"/>
      <c r="V23" s="199"/>
      <c r="W23" s="200"/>
      <c r="X23" s="112"/>
      <c r="Y23" s="112"/>
      <c r="Z23" s="201"/>
    </row>
    <row r="24" spans="1:26" ht="14.9" customHeight="1">
      <c r="A24" s="156"/>
      <c r="B24" s="111"/>
      <c r="C24" s="111"/>
      <c r="D24" s="111"/>
      <c r="E24" s="160"/>
      <c r="F24" s="2"/>
      <c r="G24" s="212"/>
      <c r="H24" s="196"/>
      <c r="I24" s="212"/>
      <c r="J24" s="196"/>
      <c r="K24" s="212"/>
      <c r="L24" s="196"/>
      <c r="M24" s="212"/>
      <c r="N24" s="11"/>
      <c r="O24" s="129"/>
      <c r="P24" s="111"/>
      <c r="Q24" s="299"/>
      <c r="R24" s="314"/>
      <c r="V24" s="199"/>
      <c r="W24" s="200"/>
      <c r="X24" s="112"/>
      <c r="Y24" s="112"/>
      <c r="Z24" s="207"/>
    </row>
    <row r="25" spans="1:26" ht="14.9" customHeight="1">
      <c r="A25" s="156"/>
      <c r="B25" s="111" t="s">
        <v>140</v>
      </c>
      <c r="C25" s="111"/>
      <c r="D25" s="111"/>
      <c r="E25" s="59">
        <v>1</v>
      </c>
      <c r="F25" s="2"/>
      <c r="G25" s="66"/>
      <c r="H25" s="196"/>
      <c r="I25" s="66"/>
      <c r="J25" s="196"/>
      <c r="K25" s="66"/>
      <c r="L25" s="196"/>
      <c r="M25" s="66"/>
      <c r="N25" s="11"/>
      <c r="O25" s="433" t="s">
        <v>140</v>
      </c>
      <c r="P25" s="434"/>
      <c r="Q25" s="299">
        <f>SUM((E25*$E$8),(G25*$G$8),(I25*$I$8),(K25*$K$8),(M25*$M$8))/SUM(IF(ISNUMBER(E25),$E$8,0),IF(ISNUMBER(G25),$G$8,0),IF(ISNUMBER(I25),$I$8,0),IF(ISNUMBER(K25),$K$8,0),IF(ISNUMBER(M25),$M$8,0))</f>
        <v>1</v>
      </c>
      <c r="R25" s="314">
        <f>'GeStruk-Ist'!AA26</f>
        <v>3.1170212765957448</v>
      </c>
      <c r="V25" s="199"/>
      <c r="W25" s="200"/>
      <c r="X25" s="199"/>
      <c r="Y25" s="199"/>
      <c r="Z25" s="201"/>
    </row>
    <row r="26" spans="1:26" ht="14.9" customHeight="1">
      <c r="A26" s="156"/>
      <c r="B26" s="111"/>
      <c r="C26" s="111"/>
      <c r="D26" s="111"/>
      <c r="E26" s="160"/>
      <c r="F26" s="2"/>
      <c r="G26" s="212"/>
      <c r="H26" s="196"/>
      <c r="I26" s="212"/>
      <c r="J26" s="196"/>
      <c r="K26" s="212"/>
      <c r="L26" s="196"/>
      <c r="M26" s="212"/>
      <c r="N26" s="11"/>
      <c r="O26" s="129"/>
      <c r="P26" s="111"/>
      <c r="Q26" s="299"/>
      <c r="R26" s="314"/>
      <c r="V26" s="206"/>
      <c r="W26" s="200"/>
      <c r="X26" s="199"/>
      <c r="Y26" s="199"/>
      <c r="Z26" s="201"/>
    </row>
    <row r="27" spans="1:26" ht="14.9" customHeight="1">
      <c r="A27" s="156"/>
      <c r="B27" s="111" t="s">
        <v>141</v>
      </c>
      <c r="C27" s="111"/>
      <c r="D27" s="111"/>
      <c r="E27" s="59">
        <v>2</v>
      </c>
      <c r="F27" s="2"/>
      <c r="G27" s="66"/>
      <c r="H27" s="196"/>
      <c r="I27" s="66"/>
      <c r="J27" s="196"/>
      <c r="K27" s="66"/>
      <c r="L27" s="196"/>
      <c r="M27" s="66"/>
      <c r="N27" s="11"/>
      <c r="O27" s="433" t="s">
        <v>141</v>
      </c>
      <c r="P27" s="434"/>
      <c r="Q27" s="299">
        <f>SUM((E27*$E$8),(G27*$G$8),(I27*$I$8),(K27*$K$8),(M27*$M$8))/SUM(IF(ISNUMBER(E27),$E$8,0),IF(ISNUMBER(G27),$G$8,0),IF(ISNUMBER(I27),$I$8,0),IF(ISNUMBER(K27),$K$8,0),IF(ISNUMBER(M27),$M$8,0))</f>
        <v>2</v>
      </c>
      <c r="R27" s="314">
        <f>'GeStruk-Ist'!AA28</f>
        <v>2.6276595744680851</v>
      </c>
      <c r="V27" s="206"/>
      <c r="W27" s="200"/>
      <c r="X27" s="112"/>
      <c r="Y27" s="112"/>
      <c r="Z27" s="201"/>
    </row>
    <row r="28" spans="1:26" ht="14.9" customHeight="1">
      <c r="A28" s="156"/>
      <c r="B28" s="111"/>
      <c r="C28" s="111"/>
      <c r="D28" s="111"/>
      <c r="E28" s="144"/>
      <c r="F28" s="2"/>
      <c r="G28" s="208"/>
      <c r="H28" s="196"/>
      <c r="I28" s="208"/>
      <c r="J28" s="196"/>
      <c r="K28" s="208"/>
      <c r="L28" s="196"/>
      <c r="M28" s="208"/>
      <c r="N28" s="11"/>
      <c r="O28" s="129"/>
      <c r="P28" s="111"/>
      <c r="Q28" s="299"/>
      <c r="R28" s="314"/>
      <c r="V28" s="199"/>
      <c r="W28" s="200"/>
      <c r="X28" s="112"/>
      <c r="Y28" s="112"/>
      <c r="Z28" s="201"/>
    </row>
    <row r="29" spans="1:26" ht="14.9" customHeight="1">
      <c r="A29" s="156"/>
      <c r="B29" s="422" t="s">
        <v>32</v>
      </c>
      <c r="C29" s="422"/>
      <c r="D29" s="422"/>
      <c r="E29" s="144">
        <f>IF(AND(ISBLANK(E25), ISBLANK(E27)), "", IF(ISBLANK(E25), E27, IF(ISBLANK(E27), E25, MAX(E25, E27))))</f>
        <v>2</v>
      </c>
      <c r="F29" s="2"/>
      <c r="G29" s="208" t="str">
        <f>IF(AND(ISBLANK(G25), ISBLANK(G27)), "", IF(ISBLANK(G25), G27, IF(ISBLANK(G27), G25, MAX(G25, G27))))</f>
        <v/>
      </c>
      <c r="H29" s="196"/>
      <c r="I29" s="208" t="str">
        <f>IF(AND(ISBLANK(I25), ISBLANK(I27)), "", IF(ISBLANK(I25), I27, IF(ISBLANK(I27), I25, MAX(I25, I27))))</f>
        <v/>
      </c>
      <c r="J29" s="213"/>
      <c r="K29" s="208" t="str">
        <f>IF(AND(ISBLANK(K25), ISBLANK(K27)), "", IF(ISBLANK(K25), K27, IF(ISBLANK(K27), K25, MAX(K25, K27))))</f>
        <v/>
      </c>
      <c r="L29" s="213"/>
      <c r="M29" s="208" t="str">
        <f>IF(AND(ISBLANK(M25), ISBLANK(M27)), "", IF(ISBLANK(M25), M27, IF(ISBLANK(M27), M25, MAX(M25, M27))))</f>
        <v/>
      </c>
      <c r="N29" s="11"/>
      <c r="O29" s="421" t="s">
        <v>32</v>
      </c>
      <c r="P29" s="422"/>
      <c r="Q29" s="299">
        <f>SUM(SUM(IF(ISNUMBER(E29),$E$8*E29,0),IF(ISNUMBER(G29),$G$8*G29,0),IF(ISNUMBER(I29),$I$8*I29,0),IF(ISNUMBER(K29),$K$8*K29,0),IF(ISNUMBER(M29),$M$8*M29,0)))/SUM(IF(ISNUMBER(E29),$E$8,0),IF(ISNUMBER(G29),$G$8,0),IF(ISNUMBER(I29),$I$8,0),IF(ISNUMBER(K29),$K$8,0),IF(ISNUMBER(M29),$M$8,0))</f>
        <v>2</v>
      </c>
      <c r="R29" s="314">
        <f>'GeStruk-Ist'!AA30</f>
        <v>3.7446808510638299</v>
      </c>
      <c r="V29" s="199"/>
      <c r="W29" s="200"/>
      <c r="X29" s="112"/>
      <c r="Y29" s="112"/>
      <c r="Z29" s="201"/>
    </row>
    <row r="30" spans="1:26" ht="14.9" customHeight="1">
      <c r="A30" s="164"/>
      <c r="B30" s="422"/>
      <c r="C30" s="422"/>
      <c r="D30" s="422"/>
      <c r="E30" s="141"/>
      <c r="F30" s="2"/>
      <c r="G30" s="205"/>
      <c r="H30" s="196"/>
      <c r="I30" s="205"/>
      <c r="J30" s="196"/>
      <c r="K30" s="205"/>
      <c r="L30" s="196"/>
      <c r="M30" s="205"/>
      <c r="N30" s="11"/>
      <c r="O30" s="421"/>
      <c r="P30" s="422"/>
      <c r="Q30" s="299"/>
      <c r="R30" s="314"/>
      <c r="V30" s="199"/>
      <c r="W30" s="200"/>
      <c r="X30" s="112"/>
      <c r="Y30" s="112"/>
      <c r="Z30" s="201"/>
    </row>
    <row r="31" spans="1:26" ht="14.9" customHeight="1">
      <c r="A31" s="164"/>
      <c r="B31" s="9"/>
      <c r="C31" s="9"/>
      <c r="D31" s="9"/>
      <c r="E31" s="141"/>
      <c r="F31" s="2"/>
      <c r="G31" s="205"/>
      <c r="H31" s="196"/>
      <c r="I31" s="205"/>
      <c r="J31" s="196"/>
      <c r="K31" s="205"/>
      <c r="L31" s="196"/>
      <c r="M31" s="205"/>
      <c r="N31" s="11"/>
      <c r="O31" s="163"/>
      <c r="P31" s="9"/>
      <c r="Q31" s="299"/>
      <c r="R31" s="314"/>
      <c r="V31" s="206"/>
      <c r="W31" s="200"/>
      <c r="X31" s="112"/>
      <c r="Y31" s="112"/>
      <c r="Z31" s="201"/>
    </row>
    <row r="32" spans="1:26" ht="15.65" customHeight="1">
      <c r="A32" s="165"/>
      <c r="B32" s="429" t="s">
        <v>6</v>
      </c>
      <c r="C32" s="429"/>
      <c r="D32" s="166"/>
      <c r="E32" s="167">
        <f>IF(ISNUMBER(E29),IF(OR(E17&gt;E29, E19&gt;E29, E21&gt;E29, E23&gt;E29),AVERAGE(MAX(E17, E19, E21, E23),E29),E29),"")</f>
        <v>4.5</v>
      </c>
      <c r="F32" s="2"/>
      <c r="G32" s="209" t="str">
        <f>IF(ISNUMBER(G29),IF(OR(G17&gt;G29, G19&gt;G29, G21&gt;G29, G23&gt;G29),AVERAGE(MAX(G17, G19, G21, G23),G29),G29),"")</f>
        <v/>
      </c>
      <c r="H32" s="196"/>
      <c r="I32" s="209" t="str">
        <f>IF(ISNUMBER(I29),IF(OR(I17&gt;I29, I19&gt;I29, I21&gt;I29, I23&gt;I29),AVERAGE(MAX(I17, I19, I21, I23),I29),I29),"")</f>
        <v/>
      </c>
      <c r="J32" s="196"/>
      <c r="K32" s="209" t="str">
        <f>IF(ISNUMBER(K29),IF(OR(K17&gt;K29, K19&gt;K29, K21&gt;K29, K23&gt;K29),AVERAGE(MAX(K17, K19, K21, K23),K29),K29),"")</f>
        <v/>
      </c>
      <c r="L32" s="196"/>
      <c r="M32" s="209" t="str">
        <f>IF(ISNUMBER(M29),IF(OR(M17&gt;M29, M19&gt;M29, M21&gt;M29, M23&gt;M29),AVERAGE(MAX(M17, M19, M21, M23),M29),M29),"")</f>
        <v/>
      </c>
      <c r="N32" s="11"/>
      <c r="O32" s="417" t="s">
        <v>6</v>
      </c>
      <c r="P32" s="418"/>
      <c r="Q32" s="306">
        <f>SUM(SUM(IF(ISNUMBER(E32),$E$8*E32,0),IF(ISNUMBER(G32),$G$8*G32,0),IF(ISNUMBER(I32),$I$8*I32,0),IF(ISNUMBER(K32),$K$8*K32,0),IF(ISNUMBER(M32),$M$8*M32,0)))/SUM(IF(ISNUMBER(E32),$E$8,0),IF(ISNUMBER(G32),$G$8,0),IF(ISNUMBER(I32),$I$8,0),IF(ISNUMBER(K32),$K$8,0),IF(ISNUMBER(M32),$M$8,0))</f>
        <v>4.5</v>
      </c>
      <c r="R32" s="316">
        <f>'GeStruk-Ist'!AA33</f>
        <v>5.3723404255319149</v>
      </c>
      <c r="V32" s="199"/>
      <c r="W32" s="200"/>
      <c r="X32" s="112"/>
      <c r="Y32" s="112"/>
      <c r="Z32" s="201"/>
    </row>
    <row r="33" spans="1:26" ht="15.65" customHeight="1">
      <c r="A33" s="143"/>
      <c r="B33" s="170"/>
      <c r="C33" s="170"/>
      <c r="D33" s="170"/>
      <c r="E33" s="171"/>
      <c r="F33" s="4"/>
      <c r="G33" s="214"/>
      <c r="H33" s="203"/>
      <c r="I33" s="214"/>
      <c r="J33" s="203"/>
      <c r="K33" s="214"/>
      <c r="L33" s="203"/>
      <c r="M33" s="214"/>
      <c r="N33" s="204"/>
      <c r="O33" s="172"/>
      <c r="P33" s="173"/>
      <c r="Q33" s="307"/>
      <c r="R33" s="317"/>
      <c r="V33" s="199"/>
      <c r="W33" s="200"/>
      <c r="X33" s="112"/>
      <c r="Y33" s="112"/>
      <c r="Z33" s="201"/>
    </row>
    <row r="34" spans="1:26" ht="14.9" customHeight="1">
      <c r="A34" s="143"/>
      <c r="B34" s="156" t="s">
        <v>20</v>
      </c>
      <c r="C34" s="111"/>
      <c r="D34" s="111"/>
      <c r="E34" s="60">
        <v>2</v>
      </c>
      <c r="F34" s="2"/>
      <c r="G34" s="68"/>
      <c r="H34" s="196"/>
      <c r="I34" s="68"/>
      <c r="J34" s="196"/>
      <c r="K34" s="68"/>
      <c r="L34" s="196"/>
      <c r="M34" s="68"/>
      <c r="N34" s="11"/>
      <c r="O34" s="129" t="s">
        <v>20</v>
      </c>
      <c r="P34" s="111"/>
      <c r="Q34" s="299">
        <f>SUM((E34*$E$8),(G34*$G$8),(I34*$I$8),(K34*$K$8),(M34*$M$8))/SUM(IF(ISNUMBER(E34),$E$8,0),IF(ISNUMBER(G34),$G$8,0),IF(ISNUMBER(I34),$I$8,0),IF(ISNUMBER(K34),$K$8,0),IF(ISNUMBER(M34),$M$8,0))</f>
        <v>2</v>
      </c>
      <c r="R34" s="314">
        <f>'GeStruk-Ist'!AA35</f>
        <v>3.2553191489361701</v>
      </c>
      <c r="V34" s="199"/>
      <c r="W34" s="200"/>
      <c r="X34" s="112"/>
      <c r="Y34" s="112"/>
      <c r="Z34" s="207"/>
    </row>
    <row r="35" spans="1:26" ht="14.9" customHeight="1">
      <c r="A35" s="143"/>
      <c r="B35" s="156"/>
      <c r="C35" s="111"/>
      <c r="D35" s="111"/>
      <c r="E35" s="141"/>
      <c r="F35" s="2"/>
      <c r="G35" s="205"/>
      <c r="H35" s="196"/>
      <c r="I35" s="205"/>
      <c r="J35" s="196"/>
      <c r="K35" s="205"/>
      <c r="L35" s="196"/>
      <c r="M35" s="205"/>
      <c r="N35" s="11"/>
      <c r="O35" s="129"/>
      <c r="P35" s="111"/>
      <c r="Q35" s="299"/>
      <c r="R35" s="314"/>
      <c r="V35" s="206"/>
      <c r="W35" s="200"/>
      <c r="X35" s="112"/>
      <c r="Y35" s="112"/>
      <c r="Z35" s="207"/>
    </row>
    <row r="36" spans="1:26" ht="14.9" customHeight="1">
      <c r="A36" s="143"/>
      <c r="B36" s="156" t="s">
        <v>21</v>
      </c>
      <c r="C36" s="111"/>
      <c r="D36" s="111"/>
      <c r="E36" s="57">
        <v>2</v>
      </c>
      <c r="F36" s="2"/>
      <c r="G36" s="67"/>
      <c r="H36" s="196"/>
      <c r="I36" s="67"/>
      <c r="J36" s="196"/>
      <c r="K36" s="67"/>
      <c r="L36" s="196"/>
      <c r="M36" s="67"/>
      <c r="N36" s="11"/>
      <c r="O36" s="129"/>
      <c r="P36" s="111"/>
      <c r="Q36" s="298"/>
      <c r="R36" s="321"/>
      <c r="V36" s="199"/>
      <c r="W36" s="200"/>
      <c r="X36" s="112"/>
      <c r="Y36" s="112"/>
      <c r="Z36" s="201"/>
    </row>
    <row r="37" spans="1:26" ht="14.9" customHeight="1">
      <c r="A37" s="143"/>
      <c r="B37" s="156"/>
      <c r="C37" s="111"/>
      <c r="D37" s="111"/>
      <c r="E37" s="160"/>
      <c r="F37" s="2"/>
      <c r="G37" s="212"/>
      <c r="H37" s="196"/>
      <c r="I37" s="212"/>
      <c r="J37" s="196"/>
      <c r="K37" s="212"/>
      <c r="L37" s="196"/>
      <c r="M37" s="212"/>
      <c r="N37" s="11"/>
      <c r="O37" s="129"/>
      <c r="P37" s="111"/>
      <c r="Q37" s="298"/>
      <c r="R37" s="321"/>
      <c r="V37" s="199"/>
      <c r="W37" s="200"/>
      <c r="X37" s="112"/>
      <c r="Y37" s="112"/>
      <c r="Z37" s="201"/>
    </row>
    <row r="38" spans="1:26" ht="15.65" customHeight="1">
      <c r="A38" s="175"/>
      <c r="B38" s="418" t="s">
        <v>10</v>
      </c>
      <c r="C38" s="418"/>
      <c r="D38" s="176"/>
      <c r="E38" s="146">
        <f>IF((E36+E34)&gt;0,IF((E36&gt;E34),AVERAGE(E34,E36),E34),"")</f>
        <v>2</v>
      </c>
      <c r="F38" s="3"/>
      <c r="G38" s="209" t="str">
        <f>IF((G36+G34)&gt;0,IF((G36&gt;G34),AVERAGE(G34,G36),G34),"")</f>
        <v/>
      </c>
      <c r="H38" s="210"/>
      <c r="I38" s="209" t="str">
        <f>IF((I36+I34)&gt;0,IF((I36&gt;I34),AVERAGE(I34,I36),I34),"")</f>
        <v/>
      </c>
      <c r="J38" s="210"/>
      <c r="K38" s="209" t="str">
        <f>IF((K36+K34)&gt;0,IF((K36&gt;K34),AVERAGE(K34,K36),K34),"")</f>
        <v/>
      </c>
      <c r="L38" s="210"/>
      <c r="M38" s="209" t="str">
        <f>IF((M36+M34)&gt;0,IF((M36&gt;M34),AVERAGE(M34,M36),M34),"")</f>
        <v/>
      </c>
      <c r="N38" s="11"/>
      <c r="O38" s="177" t="s">
        <v>10</v>
      </c>
      <c r="P38" s="176"/>
      <c r="Q38" s="306">
        <f>SUM(SUM(IF(ISNUMBER(E38),$E$8*E38,0),IF(ISNUMBER(G38),$G$8*G38,0),IF(ISNUMBER(I38),$I$8*I38,0),IF(ISNUMBER(K38),$K$8*K38,0),IF(ISNUMBER(M38),$M$8*M38,0)))/SUM(IF(ISNUMBER(E38),$E$8,0),IF(ISNUMBER(G38),$G$8,0),IF(ISNUMBER(I38),$I$8,0),IF(ISNUMBER(K38),$K$8,0),IF(ISNUMBER(M38),$M$8,0))</f>
        <v>2</v>
      </c>
      <c r="R38" s="316">
        <f>'GeStruk-Ist'!AA39</f>
        <v>4.1861702127659575</v>
      </c>
      <c r="V38" s="199"/>
      <c r="W38" s="200"/>
      <c r="X38" s="112"/>
      <c r="Y38" s="112"/>
      <c r="Z38" s="201"/>
    </row>
    <row r="39" spans="1:26" ht="14.9" customHeight="1">
      <c r="A39" s="178"/>
      <c r="B39" s="151"/>
      <c r="C39" s="151"/>
      <c r="D39" s="151"/>
      <c r="E39" s="152"/>
      <c r="F39" s="4"/>
      <c r="G39" s="211"/>
      <c r="H39" s="203"/>
      <c r="I39" s="211"/>
      <c r="J39" s="203"/>
      <c r="K39" s="211"/>
      <c r="L39" s="203"/>
      <c r="M39" s="211"/>
      <c r="N39" s="204"/>
      <c r="O39" s="153"/>
      <c r="P39" s="151"/>
      <c r="Q39" s="310"/>
      <c r="R39" s="322"/>
      <c r="V39" s="206"/>
      <c r="W39" s="200"/>
      <c r="X39" s="112"/>
      <c r="Y39" s="112"/>
      <c r="Z39" s="201"/>
    </row>
    <row r="40" spans="1:26" ht="14.9" customHeight="1">
      <c r="A40" s="138"/>
      <c r="B40" s="111" t="s">
        <v>18</v>
      </c>
      <c r="C40" s="111"/>
      <c r="D40" s="111"/>
      <c r="E40" s="60">
        <v>2</v>
      </c>
      <c r="F40" s="2"/>
      <c r="G40" s="68"/>
      <c r="H40" s="196"/>
      <c r="I40" s="68"/>
      <c r="J40" s="196"/>
      <c r="K40" s="68"/>
      <c r="L40" s="196"/>
      <c r="M40" s="68"/>
      <c r="N40" s="11"/>
      <c r="O40" s="129" t="s">
        <v>18</v>
      </c>
      <c r="P40" s="111"/>
      <c r="Q40" s="299">
        <f>SUM((E40*$E$8),(G40*$G$8),(I40*$I$8),(K40*$K$8),(M40*$M$8))/SUM(IF(ISNUMBER(E40),$E$8,0),IF(ISNUMBER(G40),$G$8,0),IF(ISNUMBER(I40),$I$8,0),IF(ISNUMBER(K40),$K$8,0),IF(ISNUMBER(M40),$M$8,0))</f>
        <v>2</v>
      </c>
      <c r="R40" s="314">
        <f>'GeStruk-Ist'!AA41</f>
        <v>4</v>
      </c>
      <c r="V40" s="199"/>
      <c r="W40" s="200"/>
      <c r="X40" s="112"/>
      <c r="Y40" s="112"/>
      <c r="Z40" s="201"/>
    </row>
    <row r="41" spans="1:26" ht="14.9" customHeight="1">
      <c r="A41" s="140"/>
      <c r="B41" s="111"/>
      <c r="C41" s="111"/>
      <c r="D41" s="111"/>
      <c r="E41" s="141"/>
      <c r="F41" s="2"/>
      <c r="G41" s="205"/>
      <c r="H41" s="196"/>
      <c r="I41" s="205"/>
      <c r="J41" s="196"/>
      <c r="K41" s="205"/>
      <c r="L41" s="196"/>
      <c r="M41" s="205"/>
      <c r="N41" s="11"/>
      <c r="O41" s="129"/>
      <c r="P41" s="111"/>
      <c r="Q41" s="296"/>
      <c r="R41" s="315"/>
      <c r="V41" s="199"/>
      <c r="W41" s="200"/>
      <c r="X41" s="112"/>
      <c r="Y41" s="112"/>
      <c r="Z41" s="201"/>
    </row>
    <row r="42" spans="1:26" ht="14.9" customHeight="1">
      <c r="A42" s="140"/>
      <c r="B42" s="111" t="s">
        <v>19</v>
      </c>
      <c r="C42" s="111"/>
      <c r="D42" s="111"/>
      <c r="E42" s="60">
        <v>3</v>
      </c>
      <c r="F42" s="2"/>
      <c r="G42" s="68"/>
      <c r="H42" s="196"/>
      <c r="I42" s="68"/>
      <c r="J42" s="196"/>
      <c r="K42" s="68"/>
      <c r="L42" s="196"/>
      <c r="M42" s="68"/>
      <c r="N42" s="11"/>
      <c r="O42" s="129" t="s">
        <v>19</v>
      </c>
      <c r="P42" s="111"/>
      <c r="Q42" s="299">
        <f>SUM((E42*$E$8),(G42*$G$8),(I42*$I$8),(K42*$K$8),(M42*$M$8))/SUM(IF(ISNUMBER(E42),$E$8,0),IF(ISNUMBER(G42),$G$8,0),IF(ISNUMBER(I42),$I$8,0),IF(ISNUMBER(K42),$K$8,0),IF(ISNUMBER(M42),$M$8,0))</f>
        <v>3</v>
      </c>
      <c r="R42" s="314">
        <f>'GeStruk-Ist'!AA43</f>
        <v>3</v>
      </c>
      <c r="V42" s="199"/>
      <c r="W42" s="215"/>
      <c r="X42" s="112"/>
      <c r="Y42" s="112"/>
      <c r="Z42" s="201"/>
    </row>
    <row r="43" spans="1:26" ht="14.9" customHeight="1">
      <c r="A43" s="143"/>
      <c r="B43" s="111"/>
      <c r="C43" s="111"/>
      <c r="D43" s="111"/>
      <c r="E43" s="160"/>
      <c r="F43" s="2"/>
      <c r="G43" s="212"/>
      <c r="H43" s="196"/>
      <c r="I43" s="212"/>
      <c r="J43" s="196"/>
      <c r="K43" s="212"/>
      <c r="L43" s="196"/>
      <c r="M43" s="212"/>
      <c r="N43" s="11"/>
      <c r="O43" s="129"/>
      <c r="P43" s="111"/>
      <c r="Q43" s="298"/>
      <c r="R43" s="321"/>
      <c r="V43" s="206"/>
      <c r="W43" s="112"/>
      <c r="X43" s="112"/>
      <c r="Y43" s="112"/>
      <c r="Z43" s="192"/>
    </row>
    <row r="44" spans="1:26" ht="15.65" customHeight="1">
      <c r="A44" s="175"/>
      <c r="B44" s="418" t="s">
        <v>8</v>
      </c>
      <c r="C44" s="418"/>
      <c r="D44" s="176"/>
      <c r="E44" s="146">
        <f>IF((E42+E40)&gt;0,AVERAGE(E40,E42),"")</f>
        <v>2.5</v>
      </c>
      <c r="F44" s="3"/>
      <c r="G44" s="209" t="str">
        <f>IF((G42+G40)&gt;0,AVERAGE(G40,G42),"")</f>
        <v/>
      </c>
      <c r="H44" s="210"/>
      <c r="I44" s="209" t="str">
        <f>IF((I42+I40)&gt;0,AVERAGE(I40,I42),"")</f>
        <v/>
      </c>
      <c r="J44" s="210"/>
      <c r="K44" s="209" t="str">
        <f>IF((K42+K40)&gt;0,AVERAGE(K40,K42),"")</f>
        <v/>
      </c>
      <c r="L44" s="210"/>
      <c r="M44" s="209" t="str">
        <f>IF((M42+M40)&gt;0,AVERAGE(M40,M42),"")</f>
        <v/>
      </c>
      <c r="N44" s="216"/>
      <c r="O44" s="147" t="s">
        <v>8</v>
      </c>
      <c r="P44" s="145"/>
      <c r="Q44" s="306">
        <f>AVERAGE(Q40,Q42)</f>
        <v>2.5</v>
      </c>
      <c r="R44" s="316">
        <f>'GeStruk-Ist'!AA45</f>
        <v>3.5</v>
      </c>
      <c r="V44" s="217"/>
      <c r="W44" s="217"/>
      <c r="X44" s="217"/>
      <c r="Y44" s="112"/>
      <c r="Z44" s="218"/>
    </row>
    <row r="45" spans="1:26" ht="14.9" customHeight="1">
      <c r="A45" s="178"/>
      <c r="B45" s="180"/>
      <c r="C45" s="151"/>
      <c r="D45" s="151"/>
      <c r="E45" s="181"/>
      <c r="F45" s="4"/>
      <c r="G45" s="219"/>
      <c r="H45" s="203"/>
      <c r="I45" s="219"/>
      <c r="J45" s="203"/>
      <c r="K45" s="219"/>
      <c r="L45" s="203"/>
      <c r="M45" s="219"/>
      <c r="N45" s="204"/>
      <c r="O45" s="153"/>
      <c r="P45" s="151"/>
      <c r="Q45" s="310"/>
      <c r="R45" s="322"/>
    </row>
    <row r="46" spans="1:26" ht="14.9" customHeight="1">
      <c r="A46" s="143"/>
      <c r="B46" s="111" t="s">
        <v>352</v>
      </c>
      <c r="C46" s="111"/>
      <c r="D46" s="111"/>
      <c r="E46" s="60">
        <v>3</v>
      </c>
      <c r="F46" s="2"/>
      <c r="G46" s="68"/>
      <c r="H46" s="196"/>
      <c r="I46" s="68"/>
      <c r="J46" s="196"/>
      <c r="K46" s="68"/>
      <c r="L46" s="196"/>
      <c r="M46" s="68"/>
      <c r="N46" s="49"/>
      <c r="O46" s="129"/>
      <c r="P46" s="111"/>
      <c r="Q46" s="296"/>
      <c r="R46" s="315"/>
    </row>
    <row r="47" spans="1:26" ht="14.9" customHeight="1">
      <c r="A47" s="143"/>
      <c r="B47" s="156"/>
      <c r="C47" s="111"/>
      <c r="D47" s="111"/>
      <c r="E47" s="141"/>
      <c r="F47" s="2"/>
      <c r="G47" s="205"/>
      <c r="H47" s="196"/>
      <c r="I47" s="205"/>
      <c r="J47" s="196"/>
      <c r="K47" s="205"/>
      <c r="L47" s="196"/>
      <c r="M47" s="205"/>
      <c r="N47" s="49"/>
      <c r="O47" s="129"/>
      <c r="P47" s="111"/>
      <c r="Q47" s="296"/>
      <c r="R47" s="315"/>
    </row>
    <row r="48" spans="1:26" ht="14.9" customHeight="1">
      <c r="A48" s="143"/>
      <c r="B48" s="111" t="s">
        <v>353</v>
      </c>
      <c r="C48" s="111"/>
      <c r="D48" s="111"/>
      <c r="E48" s="60">
        <v>3</v>
      </c>
      <c r="F48" s="2"/>
      <c r="G48" s="68"/>
      <c r="H48" s="196"/>
      <c r="I48" s="68"/>
      <c r="J48" s="196"/>
      <c r="K48" s="68"/>
      <c r="L48" s="196"/>
      <c r="M48" s="68"/>
      <c r="N48" s="49"/>
      <c r="O48" s="129"/>
      <c r="P48" s="111"/>
      <c r="Q48" s="296"/>
      <c r="R48" s="315"/>
    </row>
    <row r="49" spans="1:18" ht="14.9" customHeight="1">
      <c r="A49" s="143"/>
      <c r="B49" s="156"/>
      <c r="C49" s="111"/>
      <c r="D49" s="111"/>
      <c r="E49" s="141"/>
      <c r="F49" s="2"/>
      <c r="G49" s="205"/>
      <c r="H49" s="196"/>
      <c r="I49" s="205"/>
      <c r="J49" s="196"/>
      <c r="K49" s="205"/>
      <c r="L49" s="196"/>
      <c r="M49" s="205"/>
      <c r="N49" s="49"/>
      <c r="O49" s="129"/>
      <c r="P49" s="111"/>
      <c r="Q49" s="296"/>
      <c r="R49" s="315"/>
    </row>
    <row r="50" spans="1:18" ht="14.9" customHeight="1">
      <c r="A50" s="138"/>
      <c r="B50" s="111" t="s">
        <v>22</v>
      </c>
      <c r="C50" s="111"/>
      <c r="D50" s="111"/>
      <c r="E50" s="342">
        <f>IF((E48+E46)&gt;0,AVERAGE(E46,E48),"")</f>
        <v>3</v>
      </c>
      <c r="F50" s="2"/>
      <c r="G50" s="212" t="str">
        <f>IF((G48+G46)&gt;0,AVERAGE(G46,G48),"")</f>
        <v/>
      </c>
      <c r="H50" s="196"/>
      <c r="I50" s="212" t="str">
        <f>IF((I48+I46)&gt;0,AVERAGE(I46,I48),"")</f>
        <v/>
      </c>
      <c r="J50" s="196"/>
      <c r="K50" s="212" t="str">
        <f>IF((K48+K46)&gt;0,AVERAGE(K46,K48),"")</f>
        <v/>
      </c>
      <c r="L50" s="196"/>
      <c r="M50" s="212" t="str">
        <f>IF((M48+M46)&gt;0,AVERAGE(M46,M48),"")</f>
        <v/>
      </c>
      <c r="N50" s="49"/>
      <c r="O50" s="129" t="s">
        <v>22</v>
      </c>
      <c r="P50" s="111"/>
      <c r="Q50" s="299">
        <f>SUM(SUM(IF(ISNUMBER(E50),$E$8*E50,0),IF(ISNUMBER(G50),$G$8*G50,0),IF(ISNUMBER(I50),$I$8*I50,0),IF(ISNUMBER(K50),$K$8*K50,0),IF(ISNUMBER(M50),$M$8*M50,0)))/SUM(IF(ISNUMBER(E50),$E$8,0),IF(ISNUMBER(G50),$G$8,0),IF(ISNUMBER(I50),$I$8,0),IF(ISNUMBER(K50),$K$8,0),IF(ISNUMBER(M50),$M$8,0))</f>
        <v>3</v>
      </c>
      <c r="R50" s="314">
        <f>'GeStruk-Ist'!AA51</f>
        <v>3.3138297872340425</v>
      </c>
    </row>
    <row r="51" spans="1:18">
      <c r="A51" s="140"/>
      <c r="B51" s="111"/>
      <c r="C51" s="111"/>
      <c r="D51" s="111"/>
      <c r="E51" s="141"/>
      <c r="F51" s="2"/>
      <c r="G51" s="205"/>
      <c r="H51" s="196"/>
      <c r="I51" s="205"/>
      <c r="J51" s="196"/>
      <c r="K51" s="205"/>
      <c r="L51" s="196"/>
      <c r="M51" s="205"/>
      <c r="N51" s="49"/>
      <c r="O51" s="129"/>
      <c r="P51" s="111"/>
      <c r="Q51" s="296"/>
      <c r="R51" s="315"/>
    </row>
    <row r="52" spans="1:18">
      <c r="A52" s="140"/>
      <c r="B52" s="111" t="s">
        <v>354</v>
      </c>
      <c r="C52" s="111"/>
      <c r="D52" s="111"/>
      <c r="E52" s="60">
        <v>2</v>
      </c>
      <c r="F52" s="2"/>
      <c r="G52" s="68"/>
      <c r="H52" s="196"/>
      <c r="I52" s="68"/>
      <c r="J52" s="196"/>
      <c r="K52" s="68"/>
      <c r="L52" s="196"/>
      <c r="M52" s="68"/>
      <c r="N52" s="49"/>
      <c r="O52" s="129"/>
      <c r="P52" s="111"/>
      <c r="Q52" s="296"/>
      <c r="R52" s="315"/>
    </row>
    <row r="53" spans="1:18">
      <c r="A53" s="140"/>
      <c r="B53" s="111"/>
      <c r="C53" s="111"/>
      <c r="D53" s="111"/>
      <c r="E53" s="141"/>
      <c r="F53" s="2"/>
      <c r="G53" s="205"/>
      <c r="H53" s="196"/>
      <c r="I53" s="205"/>
      <c r="J53" s="196"/>
      <c r="K53" s="205"/>
      <c r="L53" s="196"/>
      <c r="M53" s="205"/>
      <c r="N53" s="49"/>
      <c r="O53" s="129"/>
      <c r="P53" s="111"/>
      <c r="Q53" s="296"/>
      <c r="R53" s="315"/>
    </row>
    <row r="54" spans="1:18">
      <c r="A54" s="140"/>
      <c r="B54" s="111" t="s">
        <v>355</v>
      </c>
      <c r="C54" s="111"/>
      <c r="D54" s="111"/>
      <c r="E54" s="60">
        <v>2</v>
      </c>
      <c r="F54" s="2"/>
      <c r="G54" s="68"/>
      <c r="H54" s="196"/>
      <c r="I54" s="68"/>
      <c r="J54" s="196"/>
      <c r="K54" s="68"/>
      <c r="L54" s="196"/>
      <c r="M54" s="68"/>
      <c r="N54" s="49"/>
      <c r="O54" s="129"/>
      <c r="P54" s="111"/>
      <c r="Q54" s="296"/>
      <c r="R54" s="315"/>
    </row>
    <row r="55" spans="1:18">
      <c r="A55" s="140"/>
      <c r="B55" s="111"/>
      <c r="C55" s="111"/>
      <c r="D55" s="111"/>
      <c r="E55" s="141"/>
      <c r="F55" s="2"/>
      <c r="G55" s="205"/>
      <c r="H55" s="196"/>
      <c r="I55" s="205"/>
      <c r="J55" s="196"/>
      <c r="K55" s="205"/>
      <c r="L55" s="196"/>
      <c r="M55" s="205"/>
      <c r="N55" s="49"/>
      <c r="O55" s="129"/>
      <c r="P55" s="111"/>
      <c r="Q55" s="296"/>
      <c r="R55" s="315"/>
    </row>
    <row r="56" spans="1:18">
      <c r="A56" s="140"/>
      <c r="B56" s="111" t="s">
        <v>23</v>
      </c>
      <c r="C56" s="111"/>
      <c r="D56" s="111"/>
      <c r="E56" s="342">
        <f>IF((E54+E52)&gt;0,AVERAGE(E52,E54),"")</f>
        <v>2</v>
      </c>
      <c r="F56" s="2"/>
      <c r="G56" s="212" t="str">
        <f>IF((G54+G52)&gt;0,AVERAGE(G52,G54),"")</f>
        <v/>
      </c>
      <c r="H56" s="196"/>
      <c r="I56" s="212" t="str">
        <f>IF((I54+I52)&gt;0,AVERAGE(I52,I54),"")</f>
        <v/>
      </c>
      <c r="J56" s="196"/>
      <c r="K56" s="212" t="str">
        <f>IF((K54+K52)&gt;0,AVERAGE(K52,K54),"")</f>
        <v/>
      </c>
      <c r="L56" s="196"/>
      <c r="M56" s="212" t="str">
        <f>IF((M54+M52)&gt;0,AVERAGE(M52,M54),"")</f>
        <v/>
      </c>
      <c r="N56" s="49"/>
      <c r="O56" s="129" t="s">
        <v>23</v>
      </c>
      <c r="P56" s="111"/>
      <c r="Q56" s="299">
        <f>SUM(SUM(IF(ISNUMBER(E56),$E$8*E56,0),IF(ISNUMBER(G56),$G$8*G56,0),IF(ISNUMBER(I56),$I$8*I56,0),IF(ISNUMBER(K56),$K$8*K56,0),IF(ISNUMBER(M56),$M$8*M56,0)))/SUM(IF(ISNUMBER(E56),$E$8,0),IF(ISNUMBER(G56),$G$8,0),IF(ISNUMBER(I56),$I$8,0),IF(ISNUMBER(K56),$K$8,0),IF(ISNUMBER(M56),$M$8,0))</f>
        <v>2</v>
      </c>
      <c r="R56" s="314">
        <f>'GeStruk-Ist'!AA57</f>
        <v>3.5</v>
      </c>
    </row>
    <row r="57" spans="1:18" ht="14.15" customHeight="1">
      <c r="A57" s="143"/>
      <c r="B57" s="111"/>
      <c r="C57" s="111"/>
      <c r="D57" s="111"/>
      <c r="E57" s="160"/>
      <c r="F57" s="2"/>
      <c r="G57" s="212"/>
      <c r="H57" s="196"/>
      <c r="I57" s="212"/>
      <c r="J57" s="196"/>
      <c r="K57" s="212"/>
      <c r="L57" s="196"/>
      <c r="M57" s="212"/>
      <c r="N57" s="49"/>
      <c r="O57" s="129"/>
      <c r="P57" s="111"/>
      <c r="Q57" s="298"/>
      <c r="R57" s="321"/>
    </row>
    <row r="58" spans="1:18" ht="14.9" customHeight="1">
      <c r="A58" s="175"/>
      <c r="B58" s="145" t="s">
        <v>11</v>
      </c>
      <c r="C58" s="145"/>
      <c r="D58" s="145"/>
      <c r="E58" s="146">
        <f>IF(ISNUMBER(E50),AVERAGE(E50,E56),"")</f>
        <v>2.5</v>
      </c>
      <c r="F58" s="3"/>
      <c r="G58" s="209" t="str">
        <f>IF(ISNUMBER(G50),AVERAGE(G50,G56),"")</f>
        <v/>
      </c>
      <c r="H58" s="210"/>
      <c r="I58" s="209" t="str">
        <f>IF(ISNUMBER(I50),AVERAGE(I50,I56),"")</f>
        <v/>
      </c>
      <c r="J58" s="210"/>
      <c r="K58" s="209" t="str">
        <f>IF(ISNUMBER(K50),AVERAGE(K50,K56),"")</f>
        <v/>
      </c>
      <c r="L58" s="210"/>
      <c r="M58" s="209" t="str">
        <f>IF(ISNUMBER(M50),AVERAGE(M50,M56),"")</f>
        <v/>
      </c>
      <c r="N58" s="49"/>
      <c r="O58" s="417" t="s">
        <v>11</v>
      </c>
      <c r="P58" s="418"/>
      <c r="Q58" s="306">
        <f>AVERAGE(Q50:Q56)</f>
        <v>2.5</v>
      </c>
      <c r="R58" s="316">
        <f>'GeStruk-Ist'!AA59</f>
        <v>3.4069148936170213</v>
      </c>
    </row>
    <row r="59" spans="1:18" ht="13.4" customHeight="1">
      <c r="A59" s="178"/>
      <c r="B59" s="151"/>
      <c r="C59" s="151"/>
      <c r="D59" s="151"/>
      <c r="E59" s="181"/>
      <c r="F59" s="4"/>
      <c r="G59" s="219"/>
      <c r="H59" s="203"/>
      <c r="I59" s="219"/>
      <c r="J59" s="203"/>
      <c r="K59" s="219"/>
      <c r="L59" s="203"/>
      <c r="M59" s="219"/>
      <c r="N59" s="220"/>
      <c r="O59" s="153"/>
      <c r="P59" s="151"/>
      <c r="Q59" s="310"/>
      <c r="R59" s="322"/>
    </row>
    <row r="60" spans="1:18" ht="13.4" customHeight="1">
      <c r="A60" s="143"/>
      <c r="B60" s="111" t="s">
        <v>359</v>
      </c>
      <c r="C60" s="111"/>
      <c r="D60" s="111"/>
      <c r="E60" s="60">
        <v>3</v>
      </c>
      <c r="F60" s="2"/>
      <c r="G60" s="68"/>
      <c r="H60" s="196"/>
      <c r="I60" s="68"/>
      <c r="J60" s="196"/>
      <c r="K60" s="68"/>
      <c r="L60" s="196"/>
      <c r="M60" s="68"/>
      <c r="N60" s="49"/>
      <c r="O60" s="129"/>
      <c r="P60" s="111"/>
      <c r="Q60" s="296"/>
      <c r="R60" s="315"/>
    </row>
    <row r="61" spans="1:18" ht="13.4" customHeight="1">
      <c r="A61" s="143"/>
      <c r="B61" s="111"/>
      <c r="C61" s="111"/>
      <c r="D61" s="111"/>
      <c r="E61" s="141"/>
      <c r="F61" s="2"/>
      <c r="G61" s="205"/>
      <c r="H61" s="196"/>
      <c r="I61" s="205"/>
      <c r="J61" s="196"/>
      <c r="K61" s="205"/>
      <c r="L61" s="196"/>
      <c r="M61" s="205"/>
      <c r="N61" s="49"/>
      <c r="O61" s="129"/>
      <c r="P61" s="111"/>
      <c r="Q61" s="296"/>
      <c r="R61" s="315"/>
    </row>
    <row r="62" spans="1:18" ht="13.4" customHeight="1">
      <c r="A62" s="143"/>
      <c r="B62" s="111" t="s">
        <v>356</v>
      </c>
      <c r="C62" s="111"/>
      <c r="D62" s="111"/>
      <c r="E62" s="60">
        <v>3</v>
      </c>
      <c r="F62" s="2"/>
      <c r="G62" s="68"/>
      <c r="H62" s="196"/>
      <c r="I62" s="68"/>
      <c r="J62" s="196"/>
      <c r="K62" s="68"/>
      <c r="L62" s="196"/>
      <c r="M62" s="68"/>
      <c r="N62" s="49"/>
      <c r="O62" s="129"/>
      <c r="P62" s="111"/>
      <c r="Q62" s="296"/>
      <c r="R62" s="315"/>
    </row>
    <row r="63" spans="1:18" ht="13.4" customHeight="1">
      <c r="A63" s="143"/>
      <c r="B63" s="111"/>
      <c r="C63" s="111"/>
      <c r="D63" s="111"/>
      <c r="E63" s="141"/>
      <c r="F63" s="2"/>
      <c r="G63" s="205"/>
      <c r="H63" s="196"/>
      <c r="I63" s="205"/>
      <c r="J63" s="196"/>
      <c r="K63" s="205"/>
      <c r="L63" s="196"/>
      <c r="M63" s="205"/>
      <c r="N63" s="49"/>
      <c r="O63" s="129"/>
      <c r="P63" s="111"/>
      <c r="Q63" s="296"/>
      <c r="R63" s="315"/>
    </row>
    <row r="64" spans="1:18" ht="13.4" customHeight="1">
      <c r="A64" s="143"/>
      <c r="B64" s="111" t="s">
        <v>26</v>
      </c>
      <c r="C64" s="111"/>
      <c r="D64" s="111"/>
      <c r="E64" s="342">
        <f>IF((E62+E60)&gt;0,AVERAGE(E60,E62),"")</f>
        <v>3</v>
      </c>
      <c r="F64" s="2"/>
      <c r="G64" s="212" t="str">
        <f>IF((G62+G60)&gt;0,AVERAGE(G60,G62),"")</f>
        <v/>
      </c>
      <c r="H64" s="196"/>
      <c r="I64" s="212" t="str">
        <f>IF((I62+I60)&gt;0,AVERAGE(I60,I62),"")</f>
        <v/>
      </c>
      <c r="J64" s="196"/>
      <c r="K64" s="212" t="str">
        <f>IF((K62+K60)&gt;0,AVERAGE(K60,K62),"")</f>
        <v/>
      </c>
      <c r="L64" s="196"/>
      <c r="M64" s="212" t="str">
        <f>IF((M62+M60)&gt;0,AVERAGE(M60,M62),"")</f>
        <v/>
      </c>
      <c r="N64" s="49"/>
      <c r="O64" s="129" t="s">
        <v>26</v>
      </c>
      <c r="P64" s="111"/>
      <c r="Q64" s="299">
        <f>SUM(SUM(IF(ISNUMBER(E64),$E$8*E64,0),IF(ISNUMBER(G64),$G$8*G64,0),IF(ISNUMBER(I64),$I$8*I64,0),IF(ISNUMBER(K64),$K$8*K64,0),IF(ISNUMBER(M64),$M$8*M64,0)))/SUM(IF(ISNUMBER(E64),$E$8,0),IF(ISNUMBER(G64),$G$8,0),IF(ISNUMBER(I64),$I$8,0),IF(ISNUMBER(K64),$K$8,0),IF(ISNUMBER(M64),$M$8,0))</f>
        <v>3</v>
      </c>
      <c r="R64" s="314">
        <f>'GeStruk-Ist'!AA65</f>
        <v>3.8138297872340425</v>
      </c>
    </row>
    <row r="65" spans="1:18" ht="13.4" customHeight="1">
      <c r="A65" s="143"/>
      <c r="B65" s="111"/>
      <c r="C65" s="111"/>
      <c r="D65" s="111"/>
      <c r="E65" s="141"/>
      <c r="F65" s="2"/>
      <c r="G65" s="205"/>
      <c r="H65" s="196"/>
      <c r="I65" s="205"/>
      <c r="J65" s="196"/>
      <c r="K65" s="205"/>
      <c r="L65" s="196"/>
      <c r="M65" s="205"/>
      <c r="N65" s="49"/>
      <c r="O65" s="129"/>
      <c r="P65" s="111"/>
      <c r="Q65" s="296"/>
      <c r="R65" s="315"/>
    </row>
    <row r="66" spans="1:18">
      <c r="A66" s="138"/>
      <c r="B66" s="111" t="s">
        <v>357</v>
      </c>
      <c r="C66" s="111"/>
      <c r="D66" s="111"/>
      <c r="E66" s="60">
        <v>3</v>
      </c>
      <c r="F66" s="2"/>
      <c r="G66" s="68"/>
      <c r="H66" s="196"/>
      <c r="I66" s="68"/>
      <c r="J66" s="196"/>
      <c r="K66" s="68"/>
      <c r="L66" s="196"/>
      <c r="M66" s="68"/>
      <c r="N66" s="49"/>
      <c r="P66" s="111"/>
      <c r="Q66" s="296"/>
      <c r="R66" s="315"/>
    </row>
    <row r="67" spans="1:18">
      <c r="A67" s="140"/>
      <c r="B67" s="111"/>
      <c r="C67" s="111"/>
      <c r="D67" s="111"/>
      <c r="E67" s="141"/>
      <c r="F67" s="2"/>
      <c r="G67" s="205"/>
      <c r="H67" s="196"/>
      <c r="I67" s="205"/>
      <c r="J67" s="196"/>
      <c r="K67" s="205"/>
      <c r="L67" s="196"/>
      <c r="M67" s="205"/>
      <c r="N67" s="49"/>
      <c r="O67" s="129"/>
      <c r="P67" s="111"/>
      <c r="Q67" s="296"/>
      <c r="R67" s="315"/>
    </row>
    <row r="68" spans="1:18">
      <c r="A68" s="140"/>
      <c r="B68" s="111" t="s">
        <v>358</v>
      </c>
      <c r="C68" s="111"/>
      <c r="D68" s="111"/>
      <c r="E68" s="60">
        <v>3</v>
      </c>
      <c r="F68" s="2"/>
      <c r="G68" s="68"/>
      <c r="H68" s="196"/>
      <c r="I68" s="68"/>
      <c r="J68" s="196"/>
      <c r="K68" s="68"/>
      <c r="L68" s="196"/>
      <c r="M68" s="68"/>
      <c r="N68" s="49"/>
      <c r="O68" s="111"/>
      <c r="P68" s="111"/>
      <c r="Q68" s="296"/>
      <c r="R68" s="315"/>
    </row>
    <row r="69" spans="1:18">
      <c r="A69" s="140"/>
      <c r="B69" s="111"/>
      <c r="C69" s="111"/>
      <c r="D69" s="111"/>
      <c r="E69" s="141"/>
      <c r="F69" s="2"/>
      <c r="G69" s="205"/>
      <c r="H69" s="196"/>
      <c r="I69" s="205"/>
      <c r="J69" s="196"/>
      <c r="K69" s="205"/>
      <c r="L69" s="196"/>
      <c r="M69" s="205"/>
      <c r="N69" s="49"/>
      <c r="O69" s="111"/>
      <c r="P69" s="111"/>
      <c r="Q69" s="296"/>
      <c r="R69" s="315"/>
    </row>
    <row r="70" spans="1:18">
      <c r="A70" s="140"/>
      <c r="B70" s="111" t="s">
        <v>25</v>
      </c>
      <c r="C70" s="111"/>
      <c r="D70" s="111"/>
      <c r="E70" s="342">
        <f>IF((E68+E66)&gt;0,AVERAGE(E66,E68),"")</f>
        <v>3</v>
      </c>
      <c r="F70" s="2"/>
      <c r="G70" s="212" t="str">
        <f>IF((G68+G66)&gt;0,AVERAGE(G66,G68),"")</f>
        <v/>
      </c>
      <c r="H70" s="196"/>
      <c r="I70" s="212" t="str">
        <f>IF((I68+I66)&gt;0,AVERAGE(I66,I68),"")</f>
        <v/>
      </c>
      <c r="J70" s="196"/>
      <c r="K70" s="212" t="str">
        <f>IF((K68+K66)&gt;0,AVERAGE(K66,K68),"")</f>
        <v/>
      </c>
      <c r="L70" s="196"/>
      <c r="M70" s="212" t="str">
        <f>IF((M68+M66)&gt;0,AVERAGE(M66,M68),"")</f>
        <v/>
      </c>
      <c r="N70" s="49"/>
      <c r="O70" s="129" t="s">
        <v>25</v>
      </c>
      <c r="P70" s="111"/>
      <c r="Q70" s="299">
        <f>SUM(SUM(IF(ISNUMBER(E70),$E$8*E70,0),IF(ISNUMBER(G70),$G$8*G70,0),IF(ISNUMBER(I70),$I$8*I70,0),IF(ISNUMBER(K70),$K$8*K70,0),IF(ISNUMBER(M70),$M$8*M70,0)))/SUM(IF(ISNUMBER(E70),$E$8,0),IF(ISNUMBER(G70),$G$8,0),IF(ISNUMBER(I70),$I$8,0),IF(ISNUMBER(K70),$K$8,0),IF(ISNUMBER(M70),$M$8,0))</f>
        <v>3</v>
      </c>
      <c r="R70" s="314">
        <f>'GeStruk-Ist'!AA71</f>
        <v>4</v>
      </c>
    </row>
    <row r="71" spans="1:18">
      <c r="A71" s="143"/>
      <c r="B71" s="111"/>
      <c r="C71" s="111"/>
      <c r="D71" s="111"/>
      <c r="E71" s="160"/>
      <c r="F71" s="2"/>
      <c r="G71" s="212"/>
      <c r="H71" s="196"/>
      <c r="I71" s="212"/>
      <c r="J71" s="196"/>
      <c r="K71" s="212"/>
      <c r="L71" s="196"/>
      <c r="M71" s="212"/>
      <c r="N71" s="49"/>
      <c r="O71" s="129"/>
      <c r="P71" s="111"/>
      <c r="Q71" s="298"/>
      <c r="R71" s="321"/>
    </row>
    <row r="72" spans="1:18" ht="16.399999999999999" customHeight="1">
      <c r="A72" s="175"/>
      <c r="B72" s="145" t="s">
        <v>24</v>
      </c>
      <c r="C72" s="145"/>
      <c r="D72" s="145"/>
      <c r="E72" s="146">
        <f>IF(ISNUMBER(E64),AVERAGE(E64,E70),"")</f>
        <v>3</v>
      </c>
      <c r="F72" s="3"/>
      <c r="G72" s="209" t="str">
        <f>IF(ISNUMBER(G64),AVERAGE(G64,G70),"")</f>
        <v/>
      </c>
      <c r="H72" s="210"/>
      <c r="I72" s="209" t="str">
        <f>IF(ISNUMBER(I64),AVERAGE(I64,I70),"")</f>
        <v/>
      </c>
      <c r="J72" s="210"/>
      <c r="K72" s="209" t="str">
        <f>IF(ISNUMBER(K64),AVERAGE(K64,K70),"")</f>
        <v/>
      </c>
      <c r="L72" s="210"/>
      <c r="M72" s="209" t="str">
        <f>IF(ISNUMBER(M64),AVERAGE(M64,M70),"")</f>
        <v/>
      </c>
      <c r="N72" s="49"/>
      <c r="O72" s="417" t="s">
        <v>24</v>
      </c>
      <c r="P72" s="418"/>
      <c r="Q72" s="306">
        <f>AVERAGE(Q64:Q70)</f>
        <v>3</v>
      </c>
      <c r="R72" s="316">
        <f>'GeStruk-Ist'!AA73</f>
        <v>3.9069148936170213</v>
      </c>
    </row>
    <row r="73" spans="1:18" ht="15.65" customHeight="1">
      <c r="A73" s="182"/>
      <c r="B73" s="151"/>
      <c r="C73" s="151"/>
      <c r="D73" s="151"/>
      <c r="E73" s="183"/>
      <c r="F73" s="4"/>
      <c r="G73" s="221"/>
      <c r="H73" s="203"/>
      <c r="I73" s="221"/>
      <c r="J73" s="203"/>
      <c r="K73" s="221"/>
      <c r="L73" s="203"/>
      <c r="M73" s="221"/>
      <c r="N73" s="220"/>
      <c r="O73" s="153"/>
      <c r="P73" s="151"/>
      <c r="Q73" s="311"/>
      <c r="R73" s="323"/>
    </row>
    <row r="74" spans="1:18" ht="21" customHeight="1">
      <c r="A74" s="185"/>
      <c r="B74" s="420" t="s">
        <v>30</v>
      </c>
      <c r="C74" s="420"/>
      <c r="D74" s="420"/>
      <c r="E74" s="186">
        <f>IF(COUNT(E15,E32,E38,E44,E58,E72)&gt;0,SUM(E15,E32,E38,E44,E58,E72)/COUNT(E15,E32,E38,E44,E58,E72),"")</f>
        <v>3.1666666666666665</v>
      </c>
      <c r="F74" s="2"/>
      <c r="G74" s="222" t="str">
        <f>IF(COUNT(G15,G32,G38,G44,G58,G72)&gt;0,SUM(G15,G32,G38,G44,G58,G72)/COUNT(G15,G32,G38,G44,G58,G72),"")</f>
        <v/>
      </c>
      <c r="H74" s="196"/>
      <c r="I74" s="222" t="str">
        <f>IF(COUNT(I15,I32,I38,I44,I58,I72)&gt;0,SUM(I15,I32,I38,I44,I58,I72)/COUNT(I15,I32,I38,I44,I58,I72),"")</f>
        <v/>
      </c>
      <c r="J74" s="196"/>
      <c r="K74" s="222" t="str">
        <f>IF(COUNT(K15,K32,K38,K44,K58,K72)&gt;0,SUM(K15,K32,K38,K44,K58,K72)/COUNT(K15,K32,K38,K44,K58,K72),"")</f>
        <v/>
      </c>
      <c r="L74" s="196"/>
      <c r="M74" s="222" t="str">
        <f>IF(COUNT(M15,M32,M38,M44,M58,M72)&gt;0,SUM(M15,M32,M38,M44,M58,M72)/COUNT(M15,M32,M38,M44,M58,M72),"")</f>
        <v/>
      </c>
      <c r="N74" s="49"/>
      <c r="O74" s="430" t="s">
        <v>30</v>
      </c>
      <c r="P74" s="431"/>
      <c r="Q74" s="297">
        <f>AVERAGE(Q15,Q32,Q38,Q44,Q58,Q72)</f>
        <v>3.1666666666666665</v>
      </c>
      <c r="R74" s="324">
        <f>'GeStruk-Ist'!AA75</f>
        <v>3.9459219858156032</v>
      </c>
    </row>
    <row r="75" spans="1:18" ht="15.65" customHeight="1" thickBot="1">
      <c r="A75" s="187"/>
      <c r="B75" s="148"/>
      <c r="C75" s="148"/>
      <c r="D75" s="148"/>
      <c r="E75" s="188"/>
      <c r="F75" s="3"/>
      <c r="G75" s="223"/>
      <c r="H75" s="210"/>
      <c r="I75" s="223"/>
      <c r="J75" s="210"/>
      <c r="K75" s="223"/>
      <c r="L75" s="210"/>
      <c r="M75" s="223"/>
      <c r="N75" s="224"/>
      <c r="O75" s="189"/>
      <c r="P75" s="190"/>
      <c r="Q75" s="312"/>
      <c r="R75" s="325"/>
    </row>
  </sheetData>
  <sheetProtection algorithmName="SHA-512" hashValue="SSgVCzRPcN71g5sCtH9vvoP7bTPQysC/mf66SQIH7vrypvBIJV8XJRzr7+evPsFaGDSDQh81s3kwysTaHsIO1g==" saltValue="+5+EcOZGvW8HZG+XNZlBCA==" spinCount="100000" sheet="1" objects="1" scenarios="1"/>
  <customSheetViews>
    <customSheetView guid="{B75063BA-4717-43F8-8B16-CDCBE07E925A}" scale="90" showPageBreaks="1">
      <selection activeCell="Z35" sqref="Z35"/>
    </customSheetView>
  </customSheetViews>
  <mergeCells count="18">
    <mergeCell ref="O4:Q5"/>
    <mergeCell ref="O29:P30"/>
    <mergeCell ref="A1:AA1"/>
    <mergeCell ref="O58:P58"/>
    <mergeCell ref="O72:P72"/>
    <mergeCell ref="A2:Q3"/>
    <mergeCell ref="O27:P27"/>
    <mergeCell ref="O25:P25"/>
    <mergeCell ref="O13:P13"/>
    <mergeCell ref="O11:P11"/>
    <mergeCell ref="O15:P15"/>
    <mergeCell ref="O74:P74"/>
    <mergeCell ref="O32:P32"/>
    <mergeCell ref="B44:C44"/>
    <mergeCell ref="B74:D74"/>
    <mergeCell ref="B29:D30"/>
    <mergeCell ref="B32:C32"/>
    <mergeCell ref="B38:C38"/>
  </mergeCells>
  <dataValidations count="1">
    <dataValidation type="decimal" allowBlank="1" showInputMessage="1" showErrorMessage="1" sqref="Z9:Z42 Q26 G11:G31 E11:E31 I11:I31 K11:K31 M11:M31 T58 E33:E57 G33:G57 I33:I57 K33:K57 M33:M57 I59:I71 G59:G71 K59:K71 E59:E71 M59:M71" xr:uid="{A1B078EC-B1FE-4FB9-A734-42726B465AB8}">
      <formula1>1</formula1>
      <formula2>7</formula2>
    </dataValidation>
  </dataValidations>
  <pageMargins left="0.70866141732283472" right="0.70866141732283472" top="0.78740157480314965" bottom="0.78740157480314965" header="0.31496062992125984" footer="0.31496062992125984"/>
  <pageSetup paperSize="9" scale="48" orientation="portrait" r:id="rId1"/>
  <headerFooter scaleWithDoc="0" alignWithMargins="0">
    <oddHeader>&amp;L&amp;D&amp;C&amp;A&amp;R&amp;P/&amp;N</oddHeader>
  </headerFooter>
  <rowBreaks count="1" manualBreakCount="1">
    <brk id="32" max="16383"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F087-EE1E-4691-99B4-2F8A2B483EE3}">
  <sheetPr>
    <pageSetUpPr autoPageBreaks="0" fitToPage="1"/>
  </sheetPr>
  <dimension ref="A1:AA55"/>
  <sheetViews>
    <sheetView zoomScaleNormal="100" workbookViewId="0">
      <selection activeCell="H15" sqref="H15"/>
    </sheetView>
  </sheetViews>
  <sheetFormatPr baseColWidth="10" defaultRowHeight="14.5"/>
  <cols>
    <col min="1" max="1" width="12.90625" customWidth="1"/>
    <col min="3" max="3" width="10.453125" customWidth="1"/>
    <col min="4" max="4" width="11.54296875" style="161" customWidth="1"/>
    <col min="6" max="6" width="15.54296875" customWidth="1"/>
    <col min="7" max="7" width="14.54296875" customWidth="1"/>
    <col min="8" max="8" width="10.54296875" customWidth="1"/>
    <col min="11" max="11" width="26.453125" customWidth="1"/>
    <col min="12" max="12" width="9" customWidth="1"/>
  </cols>
  <sheetData>
    <row r="1" spans="1:27" s="336" customFormat="1" ht="22.4" customHeight="1">
      <c r="A1" s="432" t="str">
        <f>IF(Stammdaten!C5&lt;&gt;"", Stammdaten!C5,"")</f>
        <v>Revitalisierung am Gewässer XY</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row>
    <row r="2" spans="1:27" ht="15" thickBot="1">
      <c r="A2" s="11"/>
      <c r="B2" s="2"/>
      <c r="C2" s="2"/>
      <c r="D2" s="23"/>
      <c r="E2" s="2"/>
      <c r="F2" s="2"/>
      <c r="G2" s="2"/>
      <c r="H2" s="2"/>
      <c r="I2" s="5"/>
    </row>
    <row r="3" spans="1:27" ht="27" customHeight="1">
      <c r="A3" s="18" t="s">
        <v>335</v>
      </c>
      <c r="B3" s="2"/>
      <c r="C3" s="23"/>
      <c r="D3" s="2"/>
      <c r="E3" s="2"/>
      <c r="F3" s="2"/>
      <c r="G3" s="2"/>
      <c r="H3" s="2"/>
      <c r="I3" s="5"/>
      <c r="K3" s="453" t="s">
        <v>0</v>
      </c>
      <c r="L3" s="454"/>
      <c r="M3" s="455" t="s">
        <v>387</v>
      </c>
      <c r="N3" s="456"/>
    </row>
    <row r="4" spans="1:27" ht="16.399999999999999" customHeight="1">
      <c r="A4" s="448" t="s">
        <v>29</v>
      </c>
      <c r="B4" s="449"/>
      <c r="C4" s="92"/>
      <c r="D4" s="92"/>
      <c r="E4" s="2"/>
      <c r="F4" s="2"/>
      <c r="G4" s="2"/>
      <c r="H4" s="2"/>
      <c r="I4" s="5"/>
      <c r="K4" s="465" t="s">
        <v>2</v>
      </c>
      <c r="L4" s="466"/>
      <c r="M4" s="376">
        <v>1</v>
      </c>
      <c r="N4" s="270" t="s">
        <v>61</v>
      </c>
    </row>
    <row r="5" spans="1:27" ht="15" customHeight="1">
      <c r="A5" s="11"/>
      <c r="B5" s="2"/>
      <c r="C5" s="10"/>
      <c r="D5" s="23"/>
      <c r="E5" s="2"/>
      <c r="F5" s="2"/>
      <c r="G5" s="2"/>
      <c r="H5" s="2"/>
      <c r="I5" s="5"/>
      <c r="K5" s="465" t="s">
        <v>3</v>
      </c>
      <c r="L5" s="466"/>
      <c r="M5" s="240">
        <v>2</v>
      </c>
      <c r="N5" s="241" t="s">
        <v>63</v>
      </c>
    </row>
    <row r="6" spans="1:27" ht="16.399999999999999" customHeight="1">
      <c r="A6" s="11" t="s">
        <v>395</v>
      </c>
      <c r="B6" s="2"/>
      <c r="C6" s="10"/>
      <c r="D6" s="23"/>
      <c r="E6" s="2"/>
      <c r="F6" s="2"/>
      <c r="G6" s="2"/>
      <c r="H6" s="2"/>
      <c r="I6" s="5"/>
      <c r="K6" s="465" t="s">
        <v>5</v>
      </c>
      <c r="L6" s="466"/>
      <c r="M6" s="242">
        <v>3</v>
      </c>
      <c r="N6" s="243" t="s">
        <v>65</v>
      </c>
    </row>
    <row r="7" spans="1:27" ht="16.399999999999999" customHeight="1">
      <c r="A7" s="11"/>
      <c r="B7" s="2"/>
      <c r="C7" s="2"/>
      <c r="D7" s="23"/>
      <c r="E7" s="2"/>
      <c r="F7" s="2"/>
      <c r="G7" s="2"/>
      <c r="H7" s="2"/>
      <c r="I7" s="5"/>
      <c r="K7" s="465" t="s">
        <v>7</v>
      </c>
      <c r="L7" s="466"/>
      <c r="M7" s="377">
        <v>4</v>
      </c>
      <c r="N7" s="274" t="s">
        <v>67</v>
      </c>
    </row>
    <row r="8" spans="1:27" ht="14.9" customHeight="1" thickBot="1">
      <c r="A8" s="11"/>
      <c r="B8" s="434" t="s">
        <v>145</v>
      </c>
      <c r="C8" s="434"/>
      <c r="D8" s="23">
        <f>IF(SUM('GeStruk-Ist'!E12, 'GeStruk-Ist'!E30,'GeStruk-Ist'!E43,'GeStruk-Ist'!E41,'GeStruk-Ist'!E35,'GeStruk-Ist'!E57,'GeStruk-Ist'!E51,'GeStruk-Ist'!E20)=0,"",AVERAGE('GeStruk-Ist'!E12, 'GeStruk-Ist'!E30,'GeStruk-Ist'!E43,'GeStruk-Ist'!E41,'GeStruk-Ist'!E35,'GeStruk-Ist'!E57,'GeStruk-Ist'!E51,'GeStruk-Ist'!E20))</f>
        <v>3.2857142857142856</v>
      </c>
      <c r="E8" s="2"/>
      <c r="F8" s="437" t="s">
        <v>148</v>
      </c>
      <c r="G8" s="437"/>
      <c r="H8" s="23">
        <f>SUM((D8*'GeStruk-Ist'!E9),(IF(D10="",0,D10)*'GeStruk-Ist'!G9),(IF(D12="",0,D12)*'GeStruk-Ist'!I9),(IF(D14="",0,D14)*'GeStruk-Ist'!K9),(IF(D16="",0,D16)*'GeStruk-Ist'!M9),(IF(D18="",0,D18)*'GeStruk-Ist'!O9),(IF(D20="",0,D20)*'GeStruk-Ist'!Q9),(IF(D22="",0,D22)*'GeStruk-Ist'!S9),(IF(D24="",0,D24)*'GeStruk-Ist'!U9),(IF(D26="",0,D26)*'GeStruk-Ist'!W9))/SUM('GeStruk-Ist'!E9,'GeStruk-Ist'!G9,'GeStruk-Ist'!I9,'GeStruk-Ist'!K9,'GeStruk-Ist'!M9,'GeStruk-Ist'!O9,'GeStruk-Ist'!Q9,'GeStruk-Ist'!S9,'GeStruk-Ist'!U9,'GeStruk-Ist'!W9)</f>
        <v>3.6580547112462005</v>
      </c>
      <c r="I8" s="5"/>
      <c r="K8" s="467" t="s">
        <v>9</v>
      </c>
      <c r="L8" s="468"/>
      <c r="M8" s="262">
        <v>5</v>
      </c>
      <c r="N8" s="263" t="s">
        <v>69</v>
      </c>
    </row>
    <row r="9" spans="1:27" ht="15" thickBot="1">
      <c r="A9" s="11"/>
      <c r="B9" s="2"/>
      <c r="C9" s="2"/>
      <c r="D9" s="23"/>
      <c r="E9" s="2"/>
      <c r="F9" s="437"/>
      <c r="G9" s="437"/>
      <c r="H9" s="23"/>
      <c r="I9" s="5"/>
    </row>
    <row r="10" spans="1:27" ht="14.9" customHeight="1">
      <c r="A10" s="11"/>
      <c r="B10" s="422" t="s">
        <v>146</v>
      </c>
      <c r="C10" s="422"/>
      <c r="D10" s="23">
        <f>IF(SUM('GeStruk-Ist'!G12, 'GeStruk-Ist'!G30,'GeStruk-Ist'!G43,'GeStruk-Ist'!G41,'GeStruk-Ist'!G35,'GeStruk-Ist'!G57,'GeStruk-Ist'!G51,'GeStruk-Ist'!G20)=0,"",AVERAGE('GeStruk-Ist'!G12, 'GeStruk-Ist'!G30,'GeStruk-Ist'!G43,'GeStruk-Ist'!G41,'GeStruk-Ist'!G35,'GeStruk-Ist'!G57,'GeStruk-Ist'!G51,'GeStruk-Ist'!G20))</f>
        <v>4.2857142857142856</v>
      </c>
      <c r="E10" s="2"/>
      <c r="F10" s="2"/>
      <c r="G10" s="2"/>
      <c r="H10" s="23"/>
      <c r="I10" s="227"/>
      <c r="K10" s="438" t="s">
        <v>107</v>
      </c>
      <c r="L10" s="439"/>
      <c r="M10" s="451" t="s">
        <v>387</v>
      </c>
      <c r="N10" s="452"/>
    </row>
    <row r="11" spans="1:27" ht="14.9" customHeight="1">
      <c r="A11" s="11"/>
      <c r="B11" s="2"/>
      <c r="C11" s="2"/>
      <c r="D11" s="23"/>
      <c r="E11" s="2"/>
      <c r="F11" s="437" t="s">
        <v>396</v>
      </c>
      <c r="G11" s="437"/>
      <c r="H11" s="228" t="str">
        <f>VLOOKUP(H8,{0,"5";2.61,"4";3.51,"3";4.41,"2";5.31,"1"},2,1)</f>
        <v>3</v>
      </c>
      <c r="I11" s="5"/>
      <c r="K11" s="440" t="s">
        <v>109</v>
      </c>
      <c r="L11" s="441"/>
      <c r="M11" s="457">
        <v>1</v>
      </c>
      <c r="N11" s="458" t="s">
        <v>61</v>
      </c>
    </row>
    <row r="12" spans="1:27" ht="14.9" customHeight="1">
      <c r="A12" s="11"/>
      <c r="B12" s="2" t="s">
        <v>147</v>
      </c>
      <c r="C12" s="2"/>
      <c r="D12" s="23" t="str">
        <f>IF(SUM('GeStruk-Ist'!I12, 'GeStruk-Ist'!I30,'GeStruk-Ist'!I43,'GeStruk-Ist'!I41,'GeStruk-Ist'!I35,'GeStruk-Ist'!I57,'GeStruk-Ist'!I51,'GeStruk-Ist'!I20)=0,"",AVERAGE('GeStruk-Ist'!I12, 'GeStruk-Ist'!I30,'GeStruk-Ist'!I43,'GeStruk-Ist'!I41,'GeStruk-Ist'!I35,'GeStruk-Ist'!I57,'GeStruk-Ist'!I51,'GeStruk-Ist'!I20))</f>
        <v/>
      </c>
      <c r="E12" s="2"/>
      <c r="G12" s="10"/>
      <c r="I12" s="5"/>
      <c r="K12" s="440"/>
      <c r="L12" s="441"/>
      <c r="M12" s="457"/>
      <c r="N12" s="458"/>
    </row>
    <row r="13" spans="1:27">
      <c r="A13" s="11"/>
      <c r="B13" s="2"/>
      <c r="C13" s="2"/>
      <c r="D13" s="23"/>
      <c r="E13" s="2"/>
      <c r="F13" s="2"/>
      <c r="G13" s="2"/>
      <c r="H13" s="2"/>
      <c r="I13" s="5"/>
      <c r="K13" s="440" t="s">
        <v>108</v>
      </c>
      <c r="L13" s="441"/>
      <c r="M13" s="459">
        <v>3</v>
      </c>
      <c r="N13" s="460" t="s">
        <v>65</v>
      </c>
    </row>
    <row r="14" spans="1:27">
      <c r="A14" s="11"/>
      <c r="B14" s="2" t="s">
        <v>157</v>
      </c>
      <c r="C14" s="2"/>
      <c r="D14" s="23" t="str">
        <f>IF(SUM('GeStruk-Ist'!K12, 'GeStruk-Ist'!K30,'GeStruk-Ist'!K43,'GeStruk-Ist'!K41,'GeStruk-Ist'!K35,'GeStruk-Ist'!K57,'GeStruk-Ist'!K51,'GeStruk-Ist'!K20)=0,"",AVERAGE('GeStruk-Ist'!K12, 'GeStruk-Ist'!K30,'GeStruk-Ist'!K43,'GeStruk-Ist'!K41,'GeStruk-Ist'!K35,'GeStruk-Ist'!K57,'GeStruk-Ist'!K51,'GeStruk-Ist'!K20))</f>
        <v/>
      </c>
      <c r="E14" s="2"/>
      <c r="F14" s="2"/>
      <c r="G14" s="2"/>
      <c r="H14" s="2"/>
      <c r="I14" s="5"/>
      <c r="K14" s="440"/>
      <c r="L14" s="441"/>
      <c r="M14" s="459"/>
      <c r="N14" s="460"/>
    </row>
    <row r="15" spans="1:27" ht="15.5">
      <c r="A15" s="11"/>
      <c r="B15" s="2"/>
      <c r="C15" s="2"/>
      <c r="D15" s="23"/>
      <c r="E15" s="2"/>
      <c r="F15" s="437" t="s">
        <v>397</v>
      </c>
      <c r="G15" s="437"/>
      <c r="H15" s="62">
        <v>3</v>
      </c>
      <c r="I15" s="5"/>
      <c r="K15" s="440"/>
      <c r="L15" s="441"/>
      <c r="M15" s="459"/>
      <c r="N15" s="460"/>
    </row>
    <row r="16" spans="1:27" ht="14.9" customHeight="1">
      <c r="A16" s="11"/>
      <c r="B16" s="2" t="s">
        <v>158</v>
      </c>
      <c r="C16" s="2"/>
      <c r="D16" s="23" t="str">
        <f>IF(SUM('GeStruk-Ist'!M12, 'GeStruk-Ist'!M30,'GeStruk-Ist'!M43,'GeStruk-Ist'!M41,'GeStruk-Ist'!M35,'GeStruk-Ist'!M57,'GeStruk-Ist'!M51,'GeStruk-Ist'!M20)=0,"",AVERAGE('GeStruk-Ist'!M12, 'GeStruk-Ist'!M30,'GeStruk-Ist'!M43,'GeStruk-Ist'!M41,'GeStruk-Ist'!M35,'GeStruk-Ist'!M57,'GeStruk-Ist'!M51,'GeStruk-Ist'!M20))</f>
        <v/>
      </c>
      <c r="E16" s="2"/>
      <c r="F16" s="2"/>
      <c r="G16" s="2"/>
      <c r="H16" s="2"/>
      <c r="I16" s="5"/>
      <c r="K16" s="444" t="s">
        <v>110</v>
      </c>
      <c r="L16" s="445"/>
      <c r="M16" s="461">
        <v>5</v>
      </c>
      <c r="N16" s="463" t="s">
        <v>69</v>
      </c>
    </row>
    <row r="17" spans="1:17" ht="16.399999999999999" customHeight="1">
      <c r="A17" s="11"/>
      <c r="B17" s="2"/>
      <c r="C17" s="2"/>
      <c r="D17" s="23"/>
      <c r="E17" s="2"/>
      <c r="F17" s="442" t="s">
        <v>336</v>
      </c>
      <c r="G17" s="442"/>
      <c r="H17" s="442"/>
      <c r="I17" s="5"/>
      <c r="K17" s="444"/>
      <c r="L17" s="445"/>
      <c r="M17" s="461"/>
      <c r="N17" s="463"/>
    </row>
    <row r="18" spans="1:17" ht="15" thickBot="1">
      <c r="A18" s="11"/>
      <c r="B18" s="2" t="s">
        <v>159</v>
      </c>
      <c r="C18" s="2"/>
      <c r="D18" s="23" t="str">
        <f>IF(SUM('GeStruk-Ist'!O12, 'GeStruk-Ist'!O30,'GeStruk-Ist'!O43,'GeStruk-Ist'!O41,'GeStruk-Ist'!O35,'GeStruk-Ist'!O57,'GeStruk-Ist'!O51,'GeStruk-Ist'!O20)=0,"",AVERAGE('GeStruk-Ist'!O12, 'GeStruk-Ist'!O30,'GeStruk-Ist'!O43,'GeStruk-Ist'!O41,'GeStruk-Ist'!O35,'GeStruk-Ist'!O57,'GeStruk-Ist'!O51,'GeStruk-Ist'!O20))</f>
        <v/>
      </c>
      <c r="E18" s="2"/>
      <c r="F18" s="2"/>
      <c r="G18" s="2"/>
      <c r="H18" s="2"/>
      <c r="I18" s="5"/>
      <c r="K18" s="446"/>
      <c r="L18" s="447"/>
      <c r="M18" s="462"/>
      <c r="N18" s="464"/>
    </row>
    <row r="19" spans="1:17">
      <c r="A19" s="11"/>
      <c r="B19" s="2"/>
      <c r="C19" s="2"/>
      <c r="D19" s="23"/>
      <c r="E19" s="2"/>
      <c r="F19" s="2" t="s">
        <v>83</v>
      </c>
      <c r="G19" s="2"/>
      <c r="H19" s="2"/>
      <c r="I19" s="5"/>
      <c r="K19" s="229"/>
      <c r="L19" s="229"/>
      <c r="M19" s="230"/>
      <c r="N19" s="230"/>
    </row>
    <row r="20" spans="1:17">
      <c r="A20" s="11"/>
      <c r="B20" s="2" t="s">
        <v>160</v>
      </c>
      <c r="C20" s="2"/>
      <c r="D20" s="23" t="str">
        <f>IF(SUM('GeStruk-Ist'!Q12, 'GeStruk-Ist'!Q30,'GeStruk-Ist'!Q43,'GeStruk-Ist'!Q41,'GeStruk-Ist'!Q35,'GeStruk-Ist'!Q57,'GeStruk-Ist'!Q51,'GeStruk-Ist'!Q20)=0,"",AVERAGE('GeStruk-Ist'!Q12, 'GeStruk-Ist'!Q30,'GeStruk-Ist'!Q43,'GeStruk-Ist'!Q41,'GeStruk-Ist'!Q35,'GeStruk-Ist'!Q57,'GeStruk-Ist'!Q51,'GeStruk-Ist'!Q20))</f>
        <v/>
      </c>
      <c r="E20" s="2"/>
      <c r="F20" s="2"/>
      <c r="G20" s="2"/>
      <c r="H20" s="2"/>
      <c r="I20" s="5"/>
      <c r="K20" s="229"/>
      <c r="L20" s="229"/>
      <c r="M20" s="230"/>
      <c r="N20" s="230"/>
    </row>
    <row r="21" spans="1:17" ht="16.5">
      <c r="A21" s="11"/>
      <c r="B21" s="2"/>
      <c r="C21" s="2"/>
      <c r="D21" s="23"/>
      <c r="E21" s="2"/>
      <c r="F21" s="2" t="s">
        <v>398</v>
      </c>
      <c r="G21" s="2"/>
      <c r="H21" s="23">
        <f>H11*(2/3)</f>
        <v>2</v>
      </c>
      <c r="I21" s="5"/>
      <c r="K21" s="229"/>
      <c r="L21" s="229"/>
      <c r="M21" s="230"/>
      <c r="N21" s="230"/>
    </row>
    <row r="22" spans="1:17">
      <c r="A22" s="11"/>
      <c r="B22" s="2" t="s">
        <v>161</v>
      </c>
      <c r="C22" s="2"/>
      <c r="D22" s="23" t="str">
        <f>IF(SUM('GeStruk-Ist'!S12, 'GeStruk-Ist'!S30,'GeStruk-Ist'!S43,'GeStruk-Ist'!S41,'GeStruk-Ist'!S35,'GeStruk-Ist'!S57,'GeStruk-Ist'!S51,'GeStruk-Ist'!S20)=0,"",AVERAGE('GeStruk-Ist'!S12, 'GeStruk-Ist'!S30,'GeStruk-Ist'!S43,'GeStruk-Ist'!S41,'GeStruk-Ist'!S35,'GeStruk-Ist'!S57,'GeStruk-Ist'!S51,'GeStruk-Ist'!S20))</f>
        <v/>
      </c>
      <c r="E22" s="2"/>
      <c r="F22" s="2"/>
      <c r="G22" s="2"/>
      <c r="H22" s="2"/>
      <c r="I22" s="5"/>
      <c r="K22" s="229"/>
      <c r="L22" s="229"/>
      <c r="M22" s="230"/>
      <c r="N22" s="230"/>
    </row>
    <row r="23" spans="1:17" ht="16.5">
      <c r="A23" s="11"/>
      <c r="B23" s="2"/>
      <c r="C23" s="2"/>
      <c r="D23" s="23"/>
      <c r="E23" s="2"/>
      <c r="F23" s="2" t="s">
        <v>399</v>
      </c>
      <c r="G23" s="2"/>
      <c r="H23" s="23">
        <f>H15*(1/3)</f>
        <v>1</v>
      </c>
      <c r="I23" s="5"/>
      <c r="K23" s="229"/>
      <c r="L23" s="229"/>
      <c r="M23" s="230"/>
      <c r="N23" s="230"/>
    </row>
    <row r="24" spans="1:17" ht="14.9" customHeight="1">
      <c r="A24" s="11"/>
      <c r="B24" s="2" t="s">
        <v>162</v>
      </c>
      <c r="C24" s="2"/>
      <c r="D24" s="23" t="str">
        <f>IF(SUM('GeStruk-Ist'!U12, 'GeStruk-Ist'!U30,'GeStruk-Ist'!U43,'GeStruk-Ist'!U41,'GeStruk-Ist'!U35,'GeStruk-Ist'!U57,'GeStruk-Ist'!U51,'GeStruk-Ist'!U20)=0,"",AVERAGE('GeStruk-Ist'!U12, 'GeStruk-Ist'!U30,'GeStruk-Ist'!U43,'GeStruk-Ist'!U41,'GeStruk-Ist'!U35,'GeStruk-Ist'!U57,'GeStruk-Ist'!U51,'GeStruk-Ist'!U20))</f>
        <v/>
      </c>
      <c r="E24" s="2"/>
      <c r="F24" s="2"/>
      <c r="G24" s="2"/>
      <c r="H24" s="2"/>
      <c r="I24" s="5"/>
    </row>
    <row r="25" spans="1:17" ht="14.9" customHeight="1">
      <c r="A25" s="11"/>
      <c r="B25" s="2"/>
      <c r="C25" s="2"/>
      <c r="D25" s="23"/>
      <c r="E25" s="2"/>
      <c r="F25" s="2"/>
      <c r="G25" s="2"/>
      <c r="H25" s="2"/>
      <c r="I25" s="5"/>
    </row>
    <row r="26" spans="1:17" ht="14.9" customHeight="1">
      <c r="A26" s="11"/>
      <c r="B26" s="2" t="s">
        <v>163</v>
      </c>
      <c r="C26" s="2"/>
      <c r="D26" s="23" t="str">
        <f>IF(SUM('GeStruk-Ist'!W12, 'GeStruk-Ist'!W30,'GeStruk-Ist'!W43,'GeStruk-Ist'!W41,'GeStruk-Ist'!W35,'GeStruk-Ist'!W57,'GeStruk-Ist'!W51,'GeStruk-Ist'!W20)=0,"",AVERAGE('GeStruk-Ist'!W12, 'GeStruk-Ist'!W30,'GeStruk-Ist'!W43,'GeStruk-Ist'!W41,'GeStruk-Ist'!W35,'GeStruk-Ist'!W57,'GeStruk-Ist'!W51,'GeStruk-Ist'!W20))</f>
        <v/>
      </c>
      <c r="E26" s="2"/>
      <c r="F26" s="450" t="s">
        <v>84</v>
      </c>
      <c r="G26" s="450"/>
      <c r="H26" s="2"/>
      <c r="I26" s="5"/>
    </row>
    <row r="27" spans="1:17">
      <c r="A27" s="11"/>
      <c r="B27" s="2"/>
      <c r="C27" s="2"/>
      <c r="D27" s="23"/>
      <c r="E27" s="2"/>
      <c r="F27" s="450"/>
      <c r="G27" s="450"/>
      <c r="H27" s="231">
        <f>ROUND((H21+H23),0)</f>
        <v>3</v>
      </c>
      <c r="I27" s="5"/>
    </row>
    <row r="28" spans="1:17">
      <c r="A28" s="14"/>
      <c r="B28" s="3"/>
      <c r="C28" s="3"/>
      <c r="D28" s="232"/>
      <c r="E28" s="3"/>
      <c r="F28" s="233"/>
      <c r="G28" s="233"/>
      <c r="H28" s="3"/>
      <c r="I28" s="7"/>
      <c r="O28" s="112"/>
      <c r="P28" s="112"/>
    </row>
    <row r="29" spans="1:17">
      <c r="A29" s="17"/>
      <c r="B29" s="4"/>
      <c r="C29" s="4"/>
      <c r="D29" s="225"/>
      <c r="E29" s="4"/>
      <c r="F29" s="4"/>
      <c r="G29" s="4"/>
      <c r="H29" s="4"/>
      <c r="I29" s="12"/>
      <c r="M29" s="234"/>
      <c r="N29" s="161"/>
      <c r="O29" s="112"/>
      <c r="P29" s="112"/>
    </row>
    <row r="30" spans="1:17" ht="21">
      <c r="A30" s="18" t="s">
        <v>335</v>
      </c>
      <c r="B30" s="2"/>
      <c r="C30" s="23"/>
      <c r="D30" s="2"/>
      <c r="E30" s="2"/>
      <c r="F30" s="2"/>
      <c r="G30" s="2"/>
      <c r="H30" s="2"/>
      <c r="I30" s="5"/>
      <c r="L30" s="234"/>
      <c r="M30" s="234"/>
      <c r="N30" s="161"/>
      <c r="P30" s="112"/>
      <c r="Q30" s="157"/>
    </row>
    <row r="31" spans="1:17" ht="18.5">
      <c r="A31" s="448" t="s">
        <v>88</v>
      </c>
      <c r="B31" s="449"/>
      <c r="C31" s="92"/>
      <c r="D31" s="92"/>
      <c r="E31" s="2"/>
      <c r="F31" s="2"/>
      <c r="G31" s="2"/>
      <c r="H31" s="2"/>
      <c r="I31" s="5"/>
      <c r="L31" s="234"/>
      <c r="O31" s="112"/>
      <c r="P31" s="157"/>
    </row>
    <row r="32" spans="1:17">
      <c r="A32" s="11"/>
      <c r="B32" s="2"/>
      <c r="C32" s="10"/>
      <c r="D32" s="23"/>
      <c r="E32" s="2"/>
      <c r="F32" s="2"/>
      <c r="G32" s="2"/>
      <c r="H32" s="2"/>
      <c r="I32" s="5"/>
      <c r="N32" s="157"/>
      <c r="O32" s="112"/>
      <c r="P32" s="157"/>
    </row>
    <row r="33" spans="1:16" ht="16.5">
      <c r="A33" s="11" t="s">
        <v>395</v>
      </c>
      <c r="B33" s="2"/>
      <c r="C33" s="10"/>
      <c r="D33" s="23"/>
      <c r="E33" s="2"/>
      <c r="F33" s="2"/>
      <c r="G33" s="2"/>
      <c r="H33" s="2"/>
      <c r="I33" s="5"/>
      <c r="O33" s="199"/>
      <c r="P33" s="199"/>
    </row>
    <row r="34" spans="1:16">
      <c r="A34" s="11"/>
      <c r="B34" s="2"/>
      <c r="C34" s="2"/>
      <c r="D34" s="23"/>
      <c r="E34" s="2"/>
      <c r="F34" s="2"/>
      <c r="G34" s="2"/>
      <c r="H34" s="2"/>
      <c r="I34" s="5"/>
      <c r="O34" s="199"/>
      <c r="P34" s="199"/>
    </row>
    <row r="35" spans="1:16" ht="14.9" customHeight="1">
      <c r="A35" s="11"/>
      <c r="B35" s="235"/>
      <c r="C35" s="235"/>
      <c r="D35" s="23"/>
      <c r="E35" s="2"/>
      <c r="F35" s="2"/>
      <c r="G35" s="2"/>
      <c r="H35" s="23"/>
      <c r="I35" s="5"/>
      <c r="O35" s="112"/>
    </row>
    <row r="36" spans="1:16" ht="17.899999999999999" customHeight="1">
      <c r="A36" s="11"/>
      <c r="B36" s="434" t="s">
        <v>145</v>
      </c>
      <c r="C36" s="434"/>
      <c r="D36" s="23">
        <f>IF(SUM('GeStruk-Ziel'!E29,'GeStruk-Ziel'!E42,'GeStruk-Ziel'!E40,'GeStruk-Ziel'!E11,'GeStruk-Ziel'!E34,'GeStruk-Ziel'!E56,'GeStruk-Ziel'!E50,'GeStruk-Ziel'!E19)=0,"",AVERAGE('GeStruk-Ziel'!E29,'GeStruk-Ziel'!E42,'GeStruk-Ziel'!E40,'GeStruk-Ziel'!E11,'GeStruk-Ziel'!E34,'GeStruk-Ziel'!E56,'GeStruk-Ziel'!E50,'GeStruk-Ziel'!E19))</f>
        <v>3.125</v>
      </c>
      <c r="E36" s="2"/>
      <c r="F36" s="437" t="s">
        <v>148</v>
      </c>
      <c r="G36" s="437"/>
      <c r="H36" s="23">
        <f>SUM((D36*'GeStruk-Ziel'!E8),(IF(D38="",0,D38)*'GeStruk-Ziel'!G8),(IF(D40="",0,D40)*'GeStruk-Ziel'!I8),(IF(D42="",0,D42)*'GeStruk-Ziel'!K8),(IF(D44="",0,D44)*'GeStruk-Ziel'!M8))/SUM('GeStruk-Ziel'!E8,'GeStruk-Ziel'!G8,'GeStruk-Ziel'!I8,'GeStruk-Ziel'!K8,'GeStruk-Ziel'!M8)</f>
        <v>3.125</v>
      </c>
      <c r="I36" s="5"/>
    </row>
    <row r="37" spans="1:16" ht="14.9" customHeight="1">
      <c r="A37" s="11"/>
      <c r="B37" s="2"/>
      <c r="C37" s="2"/>
      <c r="D37" s="23"/>
      <c r="E37" s="2"/>
      <c r="F37" s="437"/>
      <c r="G37" s="437"/>
      <c r="H37" s="23"/>
      <c r="I37" s="5"/>
    </row>
    <row r="38" spans="1:16" ht="17.149999999999999" customHeight="1">
      <c r="A38" s="11"/>
      <c r="B38" s="422" t="s">
        <v>146</v>
      </c>
      <c r="C38" s="422"/>
      <c r="D38" s="23" t="str">
        <f>IF(SUM('GeStruk-Ziel'!G29,'GeStruk-Ziel'!G42,'GeStruk-Ziel'!G40,'GeStruk-Ziel'!G11,'GeStruk-Ziel'!G34,'GeStruk-Ziel'!G56,'GeStruk-Ziel'!G50,'GeStruk-Ziel'!G19)=0,"",AVERAGE('GeStruk-Ziel'!G29,'GeStruk-Ziel'!G42,'GeStruk-Ziel'!G40,'GeStruk-Ziel'!G11,'GeStruk-Ziel'!G34,'GeStruk-Ziel'!G56,'GeStruk-Ziel'!G50,'GeStruk-Ziel'!G19))</f>
        <v/>
      </c>
      <c r="E38" s="2"/>
      <c r="F38" s="2"/>
      <c r="G38" s="2"/>
      <c r="H38" s="23"/>
      <c r="I38" s="227"/>
    </row>
    <row r="39" spans="1:16" ht="15.5">
      <c r="A39" s="11"/>
      <c r="B39" s="2"/>
      <c r="C39" s="2"/>
      <c r="D39" s="23"/>
      <c r="E39" s="2"/>
      <c r="F39" s="437" t="s">
        <v>400</v>
      </c>
      <c r="G39" s="437"/>
      <c r="H39" s="228" t="str">
        <f>VLOOKUP(H36,{0,"5";2.61,"4";3.51,"3";4.41,"2";5.31,"1"},2,1)</f>
        <v>4</v>
      </c>
      <c r="I39" s="5"/>
    </row>
    <row r="40" spans="1:16" ht="14.9" customHeight="1">
      <c r="A40" s="11"/>
      <c r="B40" s="2" t="s">
        <v>147</v>
      </c>
      <c r="C40" s="2"/>
      <c r="D40" s="23" t="str">
        <f>IF(SUM('GeStruk-Ziel'!I29,'GeStruk-Ziel'!I42,'GeStruk-Ziel'!I40,'GeStruk-Ziel'!I11,'GeStruk-Ziel'!I34,'GeStruk-Ziel'!I56,'GeStruk-Ziel'!I50,'GeStruk-Ziel'!I19)=0,"",AVERAGE('GeStruk-Ziel'!I29,'GeStruk-Ziel'!I42,'GeStruk-Ziel'!I40,'GeStruk-Ziel'!I11,'GeStruk-Ziel'!I34,'GeStruk-Ziel'!I56,'GeStruk-Ziel'!I50,'GeStruk-Ziel'!I19))</f>
        <v/>
      </c>
      <c r="E40" s="2"/>
      <c r="F40" s="2"/>
      <c r="G40" s="2"/>
      <c r="H40" s="2"/>
      <c r="I40" s="5"/>
    </row>
    <row r="41" spans="1:16">
      <c r="A41" s="11"/>
      <c r="B41" s="2"/>
      <c r="C41" s="2"/>
      <c r="D41" s="23"/>
      <c r="E41" s="2"/>
      <c r="F41" s="2"/>
      <c r="G41" s="2"/>
      <c r="H41" s="2"/>
      <c r="I41" s="5"/>
    </row>
    <row r="42" spans="1:16" ht="14.9" customHeight="1">
      <c r="A42" s="11"/>
      <c r="B42" s="2" t="s">
        <v>157</v>
      </c>
      <c r="C42" s="2"/>
      <c r="D42" s="23" t="str">
        <f>IF(SUM('GeStruk-Ziel'!K29,'GeStruk-Ziel'!K42,'GeStruk-Ziel'!K40,'GeStruk-Ziel'!K11,'GeStruk-Ziel'!K34,'GeStruk-Ziel'!K56,'GeStruk-Ziel'!K50,'GeStruk-Ziel'!K19)=0,"",AVERAGE('GeStruk-Ziel'!K29,'GeStruk-Ziel'!K42,'GeStruk-Ziel'!K40,'GeStruk-Ziel'!K11,'GeStruk-Ziel'!K34,'GeStruk-Ziel'!K56,'GeStruk-Ziel'!K50,'GeStruk-Ziel'!K19))</f>
        <v/>
      </c>
      <c r="E42" s="2"/>
      <c r="F42" s="437" t="s">
        <v>397</v>
      </c>
      <c r="G42" s="437"/>
      <c r="H42" s="62">
        <v>5</v>
      </c>
      <c r="I42" s="5"/>
    </row>
    <row r="43" spans="1:16" ht="14.4" customHeight="1">
      <c r="A43" s="11"/>
      <c r="B43" s="2"/>
      <c r="C43" s="2"/>
      <c r="D43" s="23"/>
      <c r="E43" s="2"/>
      <c r="F43" s="2"/>
      <c r="G43" s="2"/>
      <c r="H43" s="2"/>
      <c r="I43" s="5"/>
    </row>
    <row r="44" spans="1:16" ht="16.399999999999999" customHeight="1">
      <c r="A44" s="11"/>
      <c r="B44" s="2" t="s">
        <v>158</v>
      </c>
      <c r="C44" s="2"/>
      <c r="D44" s="23" t="str">
        <f>IF(SUM('GeStruk-Ziel'!M29,'GeStruk-Ziel'!M42,'GeStruk-Ziel'!M40,'GeStruk-Ziel'!M11,'GeStruk-Ziel'!M34,'GeStruk-Ziel'!M56,'GeStruk-Ziel'!M50,'GeStruk-Ziel'!M19)=0,"",AVERAGE('GeStruk-Ziel'!M29,'GeStruk-Ziel'!M42,'GeStruk-Ziel'!M40,'GeStruk-Ziel'!M11,'GeStruk-Ziel'!M34,'GeStruk-Ziel'!M56,'GeStruk-Ziel'!M50,'GeStruk-Ziel'!M19))</f>
        <v/>
      </c>
      <c r="E44" s="2"/>
      <c r="F44" s="442" t="s">
        <v>336</v>
      </c>
      <c r="G44" s="442"/>
      <c r="H44" s="442"/>
      <c r="I44" s="5"/>
    </row>
    <row r="45" spans="1:16">
      <c r="A45" s="11"/>
      <c r="B45" s="2"/>
      <c r="C45" s="2"/>
      <c r="D45" s="23"/>
      <c r="E45" s="2"/>
      <c r="F45" s="2"/>
      <c r="G45" s="2"/>
      <c r="H45" s="2"/>
      <c r="I45" s="5"/>
    </row>
    <row r="46" spans="1:16">
      <c r="A46" s="11"/>
      <c r="B46" s="2"/>
      <c r="C46" s="2"/>
      <c r="D46" s="23"/>
      <c r="E46" s="2"/>
      <c r="F46" s="2" t="s">
        <v>83</v>
      </c>
      <c r="G46" s="2"/>
      <c r="H46" s="2"/>
      <c r="I46" s="5"/>
    </row>
    <row r="47" spans="1:16" ht="14.4" customHeight="1">
      <c r="A47" s="11"/>
      <c r="B47" s="2"/>
      <c r="C47" s="2"/>
      <c r="D47" s="23"/>
      <c r="E47" s="2"/>
      <c r="F47" s="2"/>
      <c r="G47" s="2"/>
      <c r="H47" s="2"/>
      <c r="I47" s="5"/>
    </row>
    <row r="48" spans="1:16" ht="16.5">
      <c r="A48" s="11"/>
      <c r="B48" s="2"/>
      <c r="C48" s="2"/>
      <c r="D48" s="23"/>
      <c r="E48" s="2"/>
      <c r="F48" s="2" t="s">
        <v>398</v>
      </c>
      <c r="G48" s="2"/>
      <c r="H48" s="23">
        <f>H39*(2/3)</f>
        <v>2.6666666666666665</v>
      </c>
      <c r="I48" s="5"/>
    </row>
    <row r="49" spans="1:9" ht="14.9" customHeight="1">
      <c r="A49" s="11"/>
      <c r="B49" s="2"/>
      <c r="C49" s="2"/>
      <c r="D49" s="23"/>
      <c r="E49" s="2"/>
      <c r="F49" s="2"/>
      <c r="G49" s="2"/>
      <c r="H49" s="2"/>
      <c r="I49" s="5"/>
    </row>
    <row r="50" spans="1:9" ht="14.9" customHeight="1">
      <c r="A50" s="11"/>
      <c r="B50" s="226"/>
      <c r="C50" s="226"/>
      <c r="D50" s="228"/>
      <c r="E50" s="2"/>
      <c r="F50" s="2" t="s">
        <v>399</v>
      </c>
      <c r="G50" s="2"/>
      <c r="H50" s="23">
        <f>H42*(1/3)</f>
        <v>1.6666666666666665</v>
      </c>
      <c r="I50" s="5"/>
    </row>
    <row r="51" spans="1:9" ht="14.9" customHeight="1">
      <c r="A51" s="11"/>
      <c r="B51" s="226"/>
      <c r="C51" s="226"/>
      <c r="D51" s="228"/>
      <c r="E51" s="2"/>
      <c r="F51" s="2"/>
      <c r="G51" s="2"/>
      <c r="H51" s="2"/>
      <c r="I51" s="5"/>
    </row>
    <row r="52" spans="1:9" ht="14.9" customHeight="1">
      <c r="A52" s="11"/>
      <c r="B52" s="226"/>
      <c r="C52" s="226"/>
      <c r="D52" s="228"/>
      <c r="E52" s="2"/>
      <c r="F52" s="2"/>
      <c r="G52" s="2"/>
      <c r="H52" s="2"/>
      <c r="I52" s="5"/>
    </row>
    <row r="53" spans="1:9" ht="14.9" customHeight="1">
      <c r="A53" s="11"/>
      <c r="B53" s="226"/>
      <c r="C53" s="226"/>
      <c r="D53" s="228"/>
      <c r="E53" s="2"/>
      <c r="F53" s="443" t="s">
        <v>84</v>
      </c>
      <c r="G53" s="443"/>
      <c r="I53" s="5"/>
    </row>
    <row r="54" spans="1:9" ht="14.9" customHeight="1">
      <c r="A54" s="11"/>
      <c r="B54" s="226"/>
      <c r="C54" s="226"/>
      <c r="D54" s="228"/>
      <c r="E54" s="2"/>
      <c r="F54" s="443"/>
      <c r="G54" s="443"/>
      <c r="H54" s="231">
        <f>ROUND((H48+H50),0)</f>
        <v>4</v>
      </c>
      <c r="I54" s="5"/>
    </row>
    <row r="55" spans="1:9">
      <c r="A55" s="14"/>
      <c r="B55" s="236"/>
      <c r="C55" s="236"/>
      <c r="D55" s="232"/>
      <c r="E55" s="3"/>
      <c r="F55" s="233"/>
      <c r="G55" s="233"/>
      <c r="H55" s="3"/>
      <c r="I55" s="7"/>
    </row>
  </sheetData>
  <sheetProtection algorithmName="SHA-512" hashValue="nueNpax0JQ52PqoaGfiNxB1w2929db6/X4UwUcInF3T+eifnp7SyV6Vuc4GGYT75NYmWw+YemBQDDYZcFtE/ug==" saltValue="FKl5/oZnVXTrWQ5aU1gp1g==" spinCount="100000" sheet="1" objects="1" scenarios="1"/>
  <customSheetViews>
    <customSheetView guid="{B75063BA-4717-43F8-8B16-CDCBE07E925A}" showPageBreaks="1">
      <selection activeCell="K23" sqref="K23"/>
    </customSheetView>
  </customSheetViews>
  <mergeCells count="35">
    <mergeCell ref="K4:L4"/>
    <mergeCell ref="K5:L5"/>
    <mergeCell ref="K6:L6"/>
    <mergeCell ref="K7:L7"/>
    <mergeCell ref="K8:L8"/>
    <mergeCell ref="M11:M12"/>
    <mergeCell ref="N11:N12"/>
    <mergeCell ref="M13:M15"/>
    <mergeCell ref="N13:N15"/>
    <mergeCell ref="M16:M18"/>
    <mergeCell ref="N16:N18"/>
    <mergeCell ref="A1:AA1"/>
    <mergeCell ref="F39:G39"/>
    <mergeCell ref="A4:B4"/>
    <mergeCell ref="F26:G27"/>
    <mergeCell ref="B8:C8"/>
    <mergeCell ref="B10:C10"/>
    <mergeCell ref="F8:G9"/>
    <mergeCell ref="F15:G15"/>
    <mergeCell ref="F17:H17"/>
    <mergeCell ref="F11:G11"/>
    <mergeCell ref="A31:B31"/>
    <mergeCell ref="B36:C36"/>
    <mergeCell ref="B38:C38"/>
    <mergeCell ref="M10:N10"/>
    <mergeCell ref="K3:L3"/>
    <mergeCell ref="M3:N3"/>
    <mergeCell ref="F36:G37"/>
    <mergeCell ref="K10:L10"/>
    <mergeCell ref="K11:L12"/>
    <mergeCell ref="F44:H44"/>
    <mergeCell ref="F53:G54"/>
    <mergeCell ref="F42:G42"/>
    <mergeCell ref="K13:L15"/>
    <mergeCell ref="K16:L18"/>
  </mergeCells>
  <phoneticPr fontId="20" type="noConversion"/>
  <pageMargins left="0.70866141732283472" right="0.70866141732283472" top="0.78740157480314965" bottom="0.78740157480314965" header="0.31496062992125984" footer="0.31496062992125984"/>
  <pageSetup paperSize="9" scale="55" orientation="landscape" r:id="rId1"/>
  <headerFooter>
    <oddHeader>&amp;L&amp;D&amp;C&amp;A&amp;R&amp;P/&amp;N</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CFB8C35-BADF-4A76-BAF6-3EB856EF0C23}">
          <x14:formula1>
            <xm:f>key!$B$33:$B$35</xm:f>
          </x14:formula1>
          <xm:sqref>H15 H42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C6513-322C-40B1-84C4-4E7BD0067B83}">
  <sheetPr>
    <pageSetUpPr autoPageBreaks="0" fitToPage="1"/>
  </sheetPr>
  <dimension ref="A1:AA41"/>
  <sheetViews>
    <sheetView topLeftCell="A4" zoomScaleNormal="100" workbookViewId="0">
      <selection activeCell="C33" sqref="C33"/>
    </sheetView>
  </sheetViews>
  <sheetFormatPr baseColWidth="10" defaultRowHeight="17.899999999999999" customHeight="1"/>
  <cols>
    <col min="2" max="2" width="14.453125" customWidth="1"/>
  </cols>
  <sheetData>
    <row r="1" spans="1:27" s="336" customFormat="1" ht="18.649999999999999" customHeight="1">
      <c r="A1" s="432" t="str">
        <f>IF(Stammdaten!C5&lt;&gt;"", Stammdaten!C5,"")</f>
        <v>Revitalisierung am Gewässer XY</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row>
    <row r="2" spans="1:27" ht="17.899999999999999" customHeight="1" thickBot="1">
      <c r="A2" s="17"/>
      <c r="B2" s="4"/>
      <c r="C2" s="4"/>
      <c r="D2" s="4"/>
      <c r="E2" s="4"/>
      <c r="F2" s="4"/>
      <c r="G2" s="4"/>
      <c r="H2" s="4"/>
      <c r="I2" s="12"/>
    </row>
    <row r="3" spans="1:27" ht="17.899999999999999" customHeight="1">
      <c r="A3" s="18" t="s">
        <v>85</v>
      </c>
      <c r="B3" s="2"/>
      <c r="C3" s="237"/>
      <c r="D3" s="2"/>
      <c r="E3" s="2"/>
      <c r="F3" s="2"/>
      <c r="G3" s="238"/>
      <c r="H3" s="2"/>
      <c r="I3" s="5"/>
      <c r="K3" s="481" t="s">
        <v>26</v>
      </c>
      <c r="L3" s="482"/>
      <c r="M3" s="482"/>
      <c r="N3" s="483"/>
      <c r="O3" s="484" t="s">
        <v>387</v>
      </c>
      <c r="P3" s="456"/>
    </row>
    <row r="4" spans="1:27" ht="17.899999999999999" customHeight="1">
      <c r="A4" s="448" t="s">
        <v>29</v>
      </c>
      <c r="B4" s="449"/>
      <c r="C4" s="237"/>
      <c r="D4" s="2"/>
      <c r="E4" s="2"/>
      <c r="F4" s="2"/>
      <c r="G4" s="2"/>
      <c r="H4" s="2"/>
      <c r="I4" s="5"/>
      <c r="K4" s="440" t="s">
        <v>111</v>
      </c>
      <c r="L4" s="473"/>
      <c r="M4" s="473"/>
      <c r="N4" s="474"/>
      <c r="O4" s="485">
        <v>1</v>
      </c>
      <c r="P4" s="458" t="s">
        <v>61</v>
      </c>
    </row>
    <row r="5" spans="1:27" ht="17.899999999999999" customHeight="1">
      <c r="A5" s="185"/>
      <c r="B5" s="2"/>
      <c r="C5" s="2"/>
      <c r="D5" s="2"/>
      <c r="E5" s="239"/>
      <c r="F5" s="2"/>
      <c r="G5" s="2"/>
      <c r="H5" s="2"/>
      <c r="I5" s="5"/>
      <c r="K5" s="440"/>
      <c r="L5" s="473"/>
      <c r="M5" s="473"/>
      <c r="N5" s="474"/>
      <c r="O5" s="485"/>
      <c r="P5" s="458"/>
    </row>
    <row r="6" spans="1:27" ht="17.899999999999999" customHeight="1">
      <c r="A6" s="469" t="s">
        <v>57</v>
      </c>
      <c r="B6" s="470"/>
      <c r="C6" s="470"/>
      <c r="D6" s="2"/>
      <c r="E6" s="239"/>
      <c r="F6" s="2"/>
      <c r="G6" s="2"/>
      <c r="H6" s="2"/>
      <c r="I6" s="5"/>
      <c r="K6" s="488" t="s">
        <v>112</v>
      </c>
      <c r="L6" s="489"/>
      <c r="M6" s="489"/>
      <c r="N6" s="490"/>
      <c r="O6" s="379">
        <v>2</v>
      </c>
      <c r="P6" s="241" t="s">
        <v>63</v>
      </c>
    </row>
    <row r="7" spans="1:27" ht="17.899999999999999" customHeight="1">
      <c r="A7" s="11"/>
      <c r="B7" s="2"/>
      <c r="C7" s="2"/>
      <c r="D7" s="2"/>
      <c r="E7" s="239"/>
      <c r="F7" s="13"/>
      <c r="G7" s="2"/>
      <c r="H7" s="2"/>
      <c r="I7" s="5"/>
      <c r="K7" s="488" t="s">
        <v>113</v>
      </c>
      <c r="L7" s="489"/>
      <c r="M7" s="489"/>
      <c r="N7" s="490"/>
      <c r="O7" s="380">
        <v>3</v>
      </c>
      <c r="P7" s="243" t="s">
        <v>65</v>
      </c>
    </row>
    <row r="8" spans="1:27" ht="17.899999999999999" customHeight="1">
      <c r="A8" s="469" t="s">
        <v>53</v>
      </c>
      <c r="B8" s="470"/>
      <c r="C8" s="361">
        <v>23</v>
      </c>
      <c r="D8" s="2"/>
      <c r="E8" s="471" t="s">
        <v>316</v>
      </c>
      <c r="F8" s="472"/>
      <c r="G8" s="472"/>
      <c r="I8" s="5"/>
      <c r="K8" s="440" t="s">
        <v>429</v>
      </c>
      <c r="L8" s="491"/>
      <c r="M8" s="491"/>
      <c r="N8" s="492"/>
      <c r="O8" s="486">
        <v>4</v>
      </c>
      <c r="P8" s="487" t="s">
        <v>67</v>
      </c>
    </row>
    <row r="9" spans="1:27" ht="17.899999999999999" customHeight="1">
      <c r="A9" s="185"/>
      <c r="B9" s="235"/>
      <c r="C9" s="235"/>
      <c r="D9" s="2"/>
      <c r="E9" s="472"/>
      <c r="F9" s="472"/>
      <c r="G9" s="472"/>
      <c r="H9" s="231">
        <f>ROUND(((C8*1+C10*2+C12*3+C14*4+C16*5)/100),0)</f>
        <v>3</v>
      </c>
      <c r="I9" s="5"/>
      <c r="K9" s="493"/>
      <c r="L9" s="491"/>
      <c r="M9" s="491"/>
      <c r="N9" s="492"/>
      <c r="O9" s="486"/>
      <c r="P9" s="487"/>
    </row>
    <row r="10" spans="1:27" ht="17.899999999999999" customHeight="1">
      <c r="A10" s="469" t="s">
        <v>54</v>
      </c>
      <c r="B10" s="470"/>
      <c r="C10" s="361"/>
      <c r="D10" s="2"/>
      <c r="E10" s="239"/>
      <c r="F10" s="2"/>
      <c r="G10" s="2"/>
      <c r="H10" s="2"/>
      <c r="I10" s="5"/>
      <c r="K10" s="493"/>
      <c r="L10" s="491"/>
      <c r="M10" s="491"/>
      <c r="N10" s="492"/>
      <c r="O10" s="486"/>
      <c r="P10" s="487"/>
    </row>
    <row r="11" spans="1:27" ht="14.15" customHeight="1">
      <c r="A11" s="185"/>
      <c r="B11" s="235"/>
      <c r="C11" s="235"/>
      <c r="D11" s="2"/>
      <c r="E11" s="239"/>
      <c r="F11" s="13"/>
      <c r="G11" s="2"/>
      <c r="H11" s="2"/>
      <c r="I11" s="5"/>
      <c r="K11" s="493"/>
      <c r="L11" s="491"/>
      <c r="M11" s="491"/>
      <c r="N11" s="492"/>
      <c r="O11" s="486"/>
      <c r="P11" s="487"/>
    </row>
    <row r="12" spans="1:27" ht="17.899999999999999" customHeight="1">
      <c r="A12" s="469" t="s">
        <v>55</v>
      </c>
      <c r="B12" s="470"/>
      <c r="C12" s="361">
        <v>27</v>
      </c>
      <c r="D12" s="2"/>
      <c r="E12" s="239"/>
      <c r="F12" s="13"/>
      <c r="G12" s="2"/>
      <c r="H12" s="13"/>
      <c r="I12" s="5"/>
      <c r="K12" s="440" t="s">
        <v>430</v>
      </c>
      <c r="L12" s="473"/>
      <c r="M12" s="473"/>
      <c r="N12" s="474"/>
      <c r="O12" s="478">
        <v>5</v>
      </c>
      <c r="P12" s="463" t="s">
        <v>69</v>
      </c>
    </row>
    <row r="13" spans="1:27" ht="17.899999999999999" customHeight="1">
      <c r="A13" s="248"/>
      <c r="B13" s="244"/>
      <c r="C13" s="244"/>
      <c r="D13" s="2"/>
      <c r="E13" s="2"/>
      <c r="F13" s="13"/>
      <c r="G13" s="2"/>
      <c r="H13" s="2"/>
      <c r="I13" s="5"/>
      <c r="K13" s="440"/>
      <c r="L13" s="473"/>
      <c r="M13" s="473"/>
      <c r="N13" s="474"/>
      <c r="O13" s="478"/>
      <c r="P13" s="463"/>
    </row>
    <row r="14" spans="1:27" ht="17.899999999999999" customHeight="1" thickBot="1">
      <c r="A14" s="469" t="s">
        <v>56</v>
      </c>
      <c r="B14" s="470"/>
      <c r="C14" s="361">
        <v>50</v>
      </c>
      <c r="D14" s="15"/>
      <c r="E14" s="442" t="s">
        <v>139</v>
      </c>
      <c r="F14" s="442"/>
      <c r="G14" s="442"/>
      <c r="H14" s="442"/>
      <c r="I14" s="5"/>
      <c r="K14" s="475"/>
      <c r="L14" s="476"/>
      <c r="M14" s="476"/>
      <c r="N14" s="477"/>
      <c r="O14" s="479"/>
      <c r="P14" s="480"/>
    </row>
    <row r="15" spans="1:27" ht="17.899999999999999" customHeight="1">
      <c r="A15" s="11"/>
      <c r="B15" s="15"/>
      <c r="C15" s="15"/>
      <c r="D15" s="15"/>
      <c r="E15" s="442"/>
      <c r="F15" s="442"/>
      <c r="G15" s="442"/>
      <c r="H15" s="442"/>
      <c r="I15" s="5"/>
    </row>
    <row r="16" spans="1:27" ht="17.899999999999999" customHeight="1">
      <c r="A16" s="469" t="s">
        <v>58</v>
      </c>
      <c r="B16" s="470"/>
      <c r="C16" s="361"/>
      <c r="D16" s="15"/>
      <c r="E16" s="2"/>
      <c r="F16" s="2"/>
      <c r="G16" s="2"/>
      <c r="H16" s="2"/>
      <c r="I16" s="5"/>
    </row>
    <row r="17" spans="1:9" ht="17.899999999999999" customHeight="1">
      <c r="A17" s="247"/>
      <c r="B17" s="343"/>
      <c r="C17" s="279"/>
      <c r="D17" s="15"/>
      <c r="E17" s="2"/>
      <c r="F17" s="2"/>
      <c r="G17" s="2"/>
      <c r="H17" s="2"/>
      <c r="I17" s="5"/>
    </row>
    <row r="18" spans="1:9" ht="15" customHeight="1">
      <c r="A18" s="469" t="s">
        <v>380</v>
      </c>
      <c r="B18" s="470"/>
      <c r="C18" s="16">
        <f>SUM(C8:C16)</f>
        <v>100</v>
      </c>
      <c r="D18" s="15"/>
      <c r="E18" s="2"/>
      <c r="F18" s="2"/>
      <c r="G18" s="2"/>
      <c r="H18" s="2"/>
      <c r="I18" s="5"/>
    </row>
    <row r="19" spans="1:9" ht="17.899999999999999" customHeight="1">
      <c r="A19" s="11"/>
      <c r="B19" s="10"/>
      <c r="C19" s="10"/>
      <c r="D19" s="16"/>
      <c r="E19" s="16"/>
      <c r="F19" s="246"/>
      <c r="G19" s="2"/>
      <c r="H19" s="2"/>
      <c r="I19" s="5"/>
    </row>
    <row r="20" spans="1:9" ht="17.899999999999999" customHeight="1">
      <c r="A20" s="17"/>
      <c r="B20" s="4"/>
      <c r="C20" s="4"/>
      <c r="D20" s="4"/>
      <c r="E20" s="4"/>
      <c r="F20" s="4"/>
      <c r="G20" s="4"/>
      <c r="H20" s="4"/>
      <c r="I20" s="12"/>
    </row>
    <row r="21" spans="1:9" ht="17.899999999999999" customHeight="1">
      <c r="A21" s="18" t="s">
        <v>85</v>
      </c>
      <c r="B21" s="2"/>
      <c r="C21" s="237"/>
      <c r="D21" s="2"/>
      <c r="E21" s="2"/>
      <c r="F21" s="2"/>
      <c r="G21" s="238"/>
      <c r="H21" s="2"/>
      <c r="I21" s="5"/>
    </row>
    <row r="22" spans="1:9" ht="17.899999999999999" customHeight="1">
      <c r="A22" s="448" t="s">
        <v>51</v>
      </c>
      <c r="B22" s="449"/>
      <c r="C22" s="237"/>
      <c r="D22" s="2"/>
      <c r="E22" s="2"/>
      <c r="F22" s="2"/>
      <c r="G22" s="2"/>
      <c r="H22" s="2"/>
      <c r="I22" s="5"/>
    </row>
    <row r="23" spans="1:9" ht="17.899999999999999" customHeight="1">
      <c r="A23" s="185"/>
      <c r="B23" s="2"/>
      <c r="C23" s="2"/>
      <c r="D23" s="2"/>
      <c r="E23" s="2"/>
      <c r="F23" s="10"/>
      <c r="G23" s="10"/>
      <c r="H23" s="2"/>
      <c r="I23" s="5"/>
    </row>
    <row r="24" spans="1:9" ht="17.899999999999999" customHeight="1">
      <c r="A24" s="469" t="s">
        <v>57</v>
      </c>
      <c r="B24" s="470"/>
      <c r="C24" s="289"/>
      <c r="D24" s="2"/>
      <c r="E24" s="2"/>
      <c r="F24" s="10"/>
      <c r="G24" s="10"/>
      <c r="H24" s="2"/>
      <c r="I24" s="5"/>
    </row>
    <row r="25" spans="1:9" ht="17.899999999999999" customHeight="1">
      <c r="A25" s="11"/>
      <c r="B25" s="2"/>
      <c r="C25" s="2"/>
      <c r="D25" s="2"/>
      <c r="E25" s="239"/>
      <c r="F25" s="10"/>
      <c r="G25" s="10"/>
      <c r="H25" s="2"/>
      <c r="I25" s="5"/>
    </row>
    <row r="26" spans="1:9" ht="17.899999999999999" customHeight="1">
      <c r="A26" s="469" t="s">
        <v>53</v>
      </c>
      <c r="B26" s="470"/>
      <c r="C26" s="361"/>
      <c r="D26" s="2"/>
      <c r="E26" s="471" t="s">
        <v>316</v>
      </c>
      <c r="F26" s="472"/>
      <c r="G26" s="472"/>
      <c r="I26" s="5"/>
    </row>
    <row r="27" spans="1:9" ht="17.899999999999999" customHeight="1">
      <c r="A27" s="185"/>
      <c r="B27" s="235"/>
      <c r="C27" s="235"/>
      <c r="D27" s="2"/>
      <c r="E27" s="472"/>
      <c r="F27" s="472"/>
      <c r="G27" s="472"/>
      <c r="H27" s="231">
        <f>ROUND(((C26*1+C28*2+C30*3+C32*4+C34*5)/100),0)</f>
        <v>4</v>
      </c>
      <c r="I27" s="5"/>
    </row>
    <row r="28" spans="1:9" ht="17.899999999999999" customHeight="1">
      <c r="A28" s="469" t="s">
        <v>54</v>
      </c>
      <c r="B28" s="470"/>
      <c r="C28" s="361"/>
      <c r="D28" s="2"/>
      <c r="E28" s="239"/>
      <c r="F28" s="2"/>
      <c r="G28" s="2"/>
      <c r="H28" s="2"/>
      <c r="I28" s="5"/>
    </row>
    <row r="29" spans="1:9" ht="17.899999999999999" customHeight="1">
      <c r="A29" s="185"/>
      <c r="B29" s="235"/>
      <c r="C29" s="235"/>
      <c r="D29" s="2"/>
      <c r="E29" s="239"/>
      <c r="F29" s="13"/>
      <c r="G29" s="2"/>
      <c r="H29" s="2"/>
      <c r="I29" s="5"/>
    </row>
    <row r="30" spans="1:9" ht="17.899999999999999" customHeight="1">
      <c r="A30" s="469" t="s">
        <v>55</v>
      </c>
      <c r="B30" s="470"/>
      <c r="C30" s="361">
        <v>40</v>
      </c>
      <c r="D30" s="2"/>
      <c r="E30" s="239"/>
      <c r="F30" s="13"/>
      <c r="G30" s="2"/>
      <c r="H30" s="13"/>
      <c r="I30" s="5"/>
    </row>
    <row r="31" spans="1:9" ht="17.899999999999999" customHeight="1">
      <c r="A31" s="248"/>
      <c r="B31" s="239"/>
      <c r="C31" s="239"/>
      <c r="D31" s="2"/>
      <c r="E31" s="2"/>
      <c r="F31" s="13"/>
      <c r="G31" s="2"/>
      <c r="H31" s="2"/>
      <c r="I31" s="5"/>
    </row>
    <row r="32" spans="1:9" ht="17.899999999999999" customHeight="1">
      <c r="A32" s="469" t="s">
        <v>56</v>
      </c>
      <c r="B32" s="470"/>
      <c r="C32" s="361">
        <v>60</v>
      </c>
      <c r="D32" s="2"/>
      <c r="E32" s="442" t="s">
        <v>139</v>
      </c>
      <c r="F32" s="442"/>
      <c r="G32" s="442"/>
      <c r="H32" s="442"/>
      <c r="I32" s="5"/>
    </row>
    <row r="33" spans="1:10" ht="17.899999999999999" customHeight="1">
      <c r="A33" s="11"/>
      <c r="B33" s="15"/>
      <c r="C33" s="15"/>
      <c r="D33" s="2"/>
      <c r="E33" s="442"/>
      <c r="F33" s="442"/>
      <c r="G33" s="442"/>
      <c r="H33" s="442"/>
      <c r="I33" s="5"/>
    </row>
    <row r="34" spans="1:10" ht="17.899999999999999" customHeight="1">
      <c r="A34" s="469" t="s">
        <v>58</v>
      </c>
      <c r="B34" s="470"/>
      <c r="C34" s="361"/>
      <c r="D34" s="2"/>
      <c r="E34" s="2"/>
      <c r="F34" s="13"/>
      <c r="G34" s="2"/>
      <c r="H34" s="2"/>
      <c r="I34" s="5"/>
    </row>
    <row r="35" spans="1:10" ht="17.899999999999999" customHeight="1">
      <c r="A35" s="247"/>
      <c r="B35" s="343"/>
      <c r="C35" s="16"/>
      <c r="D35" s="2"/>
      <c r="E35" s="2"/>
      <c r="F35" s="13"/>
      <c r="G35" s="2"/>
      <c r="H35" s="2"/>
      <c r="I35" s="5"/>
    </row>
    <row r="36" spans="1:10" ht="19.399999999999999" customHeight="1">
      <c r="A36" s="469" t="s">
        <v>380</v>
      </c>
      <c r="B36" s="470"/>
      <c r="C36" s="16">
        <f>SUM(C26:C34)</f>
        <v>100</v>
      </c>
      <c r="D36" s="2"/>
      <c r="E36" s="2"/>
      <c r="F36" s="13"/>
      <c r="G36" s="2"/>
      <c r="H36" s="2"/>
      <c r="I36" s="5"/>
    </row>
    <row r="37" spans="1:10" ht="17.899999999999999" customHeight="1">
      <c r="A37" s="14"/>
      <c r="B37" s="249"/>
      <c r="C37" s="249"/>
      <c r="D37" s="249"/>
      <c r="E37" s="3"/>
      <c r="F37" s="19"/>
      <c r="G37" s="19"/>
      <c r="H37" s="3"/>
      <c r="I37" s="7"/>
    </row>
    <row r="38" spans="1:10" ht="17.899999999999999" customHeight="1">
      <c r="A38" s="250"/>
      <c r="B38" s="250"/>
      <c r="C38" s="251"/>
      <c r="D38" s="251"/>
      <c r="E38" s="250"/>
      <c r="F38" s="252"/>
      <c r="G38" s="252"/>
      <c r="H38" s="253"/>
      <c r="I38" s="250"/>
      <c r="J38" s="250"/>
    </row>
    <row r="39" spans="1:10" ht="17.899999999999999" customHeight="1">
      <c r="A39" s="250"/>
      <c r="B39" s="251"/>
      <c r="C39" s="251"/>
      <c r="D39" s="251"/>
      <c r="E39" s="250"/>
      <c r="F39" s="250"/>
      <c r="G39" s="250"/>
      <c r="H39" s="250"/>
      <c r="I39" s="250"/>
      <c r="J39" s="250"/>
    </row>
    <row r="40" spans="1:10" ht="17.899999999999999" customHeight="1">
      <c r="A40" s="250"/>
      <c r="B40" s="251"/>
      <c r="C40" s="251"/>
      <c r="D40" s="251"/>
      <c r="E40" s="254"/>
      <c r="F40" s="255"/>
      <c r="G40" s="250"/>
      <c r="H40" s="250"/>
      <c r="I40" s="250"/>
      <c r="J40" s="250"/>
    </row>
    <row r="41" spans="1:10" ht="17.899999999999999" customHeight="1">
      <c r="A41" s="250"/>
      <c r="B41" s="250"/>
      <c r="C41" s="250"/>
      <c r="D41" s="250"/>
      <c r="E41" s="250"/>
      <c r="F41" s="250"/>
      <c r="G41" s="250"/>
      <c r="H41" s="250"/>
      <c r="I41" s="250"/>
      <c r="J41" s="250"/>
    </row>
  </sheetData>
  <sheetProtection algorithmName="SHA-512" hashValue="pSUM9P65u+AXvSNCN9GG0L+VJvPHUmLTxpZ8URsPRghY4Eid1YixvP27WCFU07/hfg6ZvHxB4NHhZwXah9awlQ==" saltValue="6E2JX9YBqnPhNrfRICFiDg==" spinCount="100000" sheet="1" objects="1" scenarios="1"/>
  <customSheetViews>
    <customSheetView guid="{B75063BA-4717-43F8-8B16-CDCBE07E925A}" showPageBreaks="1">
      <selection activeCell="L22" sqref="L22"/>
    </customSheetView>
  </customSheetViews>
  <mergeCells count="34">
    <mergeCell ref="A1:AA1"/>
    <mergeCell ref="A18:B18"/>
    <mergeCell ref="K12:N14"/>
    <mergeCell ref="O12:O14"/>
    <mergeCell ref="P12:P14"/>
    <mergeCell ref="K3:N3"/>
    <mergeCell ref="O3:P3"/>
    <mergeCell ref="O4:O5"/>
    <mergeCell ref="P4:P5"/>
    <mergeCell ref="O8:O11"/>
    <mergeCell ref="P8:P11"/>
    <mergeCell ref="K7:N7"/>
    <mergeCell ref="K8:N11"/>
    <mergeCell ref="K4:N5"/>
    <mergeCell ref="K6:N6"/>
    <mergeCell ref="A36:B36"/>
    <mergeCell ref="A4:B4"/>
    <mergeCell ref="A6:C6"/>
    <mergeCell ref="A10:B10"/>
    <mergeCell ref="A12:B12"/>
    <mergeCell ref="A14:B14"/>
    <mergeCell ref="A32:B32"/>
    <mergeCell ref="A8:B8"/>
    <mergeCell ref="A16:B16"/>
    <mergeCell ref="A24:B24"/>
    <mergeCell ref="A26:B26"/>
    <mergeCell ref="E32:H33"/>
    <mergeCell ref="A34:B34"/>
    <mergeCell ref="A28:B28"/>
    <mergeCell ref="A30:B30"/>
    <mergeCell ref="E8:G9"/>
    <mergeCell ref="E26:G27"/>
    <mergeCell ref="A22:B22"/>
    <mergeCell ref="E14:H15"/>
  </mergeCells>
  <conditionalFormatting sqref="C18 C36">
    <cfRule type="cellIs" dxfId="31" priority="2" operator="notBetween">
      <formula>99</formula>
      <formula>101</formula>
    </cfRule>
  </conditionalFormatting>
  <conditionalFormatting sqref="C36">
    <cfRule type="cellIs" dxfId="30" priority="3" operator="greaterThan">
      <formula>101</formula>
    </cfRule>
  </conditionalFormatting>
  <conditionalFormatting sqref="G3">
    <cfRule type="cellIs" dxfId="29" priority="8" operator="equal">
      <formula>5</formula>
    </cfRule>
    <cfRule type="cellIs" dxfId="28" priority="9" operator="equal">
      <formula>4</formula>
    </cfRule>
    <cfRule type="cellIs" dxfId="27" priority="10" operator="equal">
      <formula>3</formula>
    </cfRule>
    <cfRule type="cellIs" dxfId="26" priority="11" operator="equal">
      <formula>2</formula>
    </cfRule>
  </conditionalFormatting>
  <conditionalFormatting sqref="G21">
    <cfRule type="cellIs" dxfId="25" priority="4" operator="equal">
      <formula>5</formula>
    </cfRule>
    <cfRule type="cellIs" dxfId="24" priority="5" operator="equal">
      <formula>4</formula>
    </cfRule>
    <cfRule type="cellIs" dxfId="23" priority="6" operator="equal">
      <formula>3</formula>
    </cfRule>
    <cfRule type="cellIs" dxfId="22" priority="7" operator="equal">
      <formula>2</formula>
    </cfRule>
  </conditionalFormatting>
  <dataValidations count="1">
    <dataValidation type="decimal" allowBlank="1" showInputMessage="1" showErrorMessage="1" sqref="C8 C10 C12 C14 C16 C26 C28 C30 C32 C34" xr:uid="{BD4FAE35-6722-487B-A590-BA730A149B29}">
      <formula1>0</formula1>
      <formula2>100</formula2>
    </dataValidation>
  </dataValidations>
  <pageMargins left="0.70866141732283472" right="0.70866141732283472" top="0.78740157480314965" bottom="0.78740157480314965" header="0.31496062992125984" footer="0.31496062992125984"/>
  <pageSetup paperSize="9" scale="73" orientation="landscape" r:id="rId1"/>
  <headerFooter>
    <oddHeader>&amp;L&amp;D&amp;C&amp;A&amp;R&amp;P/&amp;N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B6E80-BE51-4AED-9F6E-00ED0787CFCD}">
  <sheetPr>
    <pageSetUpPr autoPageBreaks="0" fitToPage="1"/>
  </sheetPr>
  <dimension ref="A1:AA41"/>
  <sheetViews>
    <sheetView zoomScaleNormal="100" workbookViewId="0">
      <selection activeCell="C17" sqref="C17"/>
    </sheetView>
  </sheetViews>
  <sheetFormatPr baseColWidth="10" defaultRowHeight="17.899999999999999" customHeight="1"/>
  <cols>
    <col min="2" max="2" width="14.453125" customWidth="1"/>
  </cols>
  <sheetData>
    <row r="1" spans="1:27" ht="17.899999999999999" customHeight="1">
      <c r="A1" s="497" t="str">
        <f>IF(Stammdaten!C5&lt;&gt;"", Stammdaten!C5,"")</f>
        <v>Revitalisierung am Gewässer XY</v>
      </c>
      <c r="B1" s="497"/>
      <c r="C1" s="497"/>
      <c r="D1" s="497"/>
      <c r="E1" s="497"/>
      <c r="F1" s="497"/>
      <c r="G1" s="497"/>
      <c r="H1" s="497"/>
      <c r="I1" s="497"/>
      <c r="J1" s="432"/>
      <c r="K1" s="432"/>
      <c r="L1" s="432"/>
      <c r="M1" s="432"/>
      <c r="N1" s="432"/>
      <c r="O1" s="432"/>
      <c r="P1" s="432"/>
      <c r="Q1" s="432"/>
      <c r="R1" s="432"/>
      <c r="S1" s="432"/>
      <c r="T1" s="432"/>
      <c r="U1" s="432"/>
      <c r="V1" s="432"/>
      <c r="W1" s="432"/>
      <c r="X1" s="432"/>
      <c r="Y1" s="432"/>
      <c r="Z1" s="432"/>
      <c r="AA1" s="432"/>
    </row>
    <row r="2" spans="1:27" ht="17.899999999999999" customHeight="1">
      <c r="A2" s="349"/>
      <c r="B2" s="350"/>
      <c r="C2" s="350"/>
      <c r="D2" s="350"/>
      <c r="E2" s="350"/>
      <c r="F2" s="350"/>
      <c r="G2" s="350"/>
      <c r="H2" s="350"/>
      <c r="I2" s="351"/>
      <c r="J2" s="344"/>
      <c r="K2" s="344"/>
      <c r="L2" s="344"/>
      <c r="M2" s="344"/>
      <c r="N2" s="344"/>
      <c r="O2" s="344"/>
      <c r="P2" s="344"/>
      <c r="Q2" s="344"/>
      <c r="R2" s="344"/>
      <c r="S2" s="344"/>
      <c r="T2" s="344"/>
      <c r="U2" s="344"/>
      <c r="V2" s="344"/>
      <c r="W2" s="344"/>
      <c r="X2" s="344"/>
      <c r="Y2" s="344"/>
      <c r="Z2" s="344"/>
      <c r="AA2" s="344"/>
    </row>
    <row r="3" spans="1:27" ht="17.899999999999999" customHeight="1" thickBot="1">
      <c r="A3" s="352" t="s">
        <v>52</v>
      </c>
      <c r="B3" s="101"/>
      <c r="C3" s="292"/>
      <c r="D3" s="494"/>
      <c r="E3" s="494"/>
      <c r="F3" s="494"/>
      <c r="G3" s="347"/>
      <c r="H3" s="101"/>
      <c r="I3" s="345"/>
    </row>
    <row r="4" spans="1:27" ht="17.899999999999999" customHeight="1" thickBot="1">
      <c r="A4" s="495" t="s">
        <v>29</v>
      </c>
      <c r="B4" s="496"/>
      <c r="C4" s="292"/>
      <c r="D4" s="101"/>
      <c r="E4" s="101"/>
      <c r="F4" s="101"/>
      <c r="G4" s="101"/>
      <c r="H4" s="101"/>
      <c r="I4" s="345"/>
      <c r="K4" s="500" t="s">
        <v>59</v>
      </c>
      <c r="L4" s="501"/>
      <c r="M4" s="502"/>
      <c r="N4" s="498" t="s">
        <v>387</v>
      </c>
      <c r="O4" s="499"/>
    </row>
    <row r="5" spans="1:27" ht="17.899999999999999" customHeight="1">
      <c r="A5" s="346"/>
      <c r="B5" s="101"/>
      <c r="C5" s="101"/>
      <c r="D5" s="101"/>
      <c r="E5" s="348"/>
      <c r="F5" s="101"/>
      <c r="G5" s="101"/>
      <c r="H5" s="101"/>
      <c r="I5" s="345"/>
      <c r="K5" s="503" t="s">
        <v>60</v>
      </c>
      <c r="L5" s="504"/>
      <c r="M5" s="505"/>
      <c r="N5" s="508">
        <v>1</v>
      </c>
      <c r="O5" s="510" t="s">
        <v>61</v>
      </c>
    </row>
    <row r="6" spans="1:27" ht="17.899999999999999" customHeight="1">
      <c r="A6" s="469" t="s">
        <v>57</v>
      </c>
      <c r="B6" s="470"/>
      <c r="C6" s="470"/>
      <c r="D6" s="2"/>
      <c r="E6" s="239"/>
      <c r="F6" s="2"/>
      <c r="G6" s="2"/>
      <c r="H6" s="2"/>
      <c r="I6" s="5"/>
      <c r="K6" s="465"/>
      <c r="L6" s="506"/>
      <c r="M6" s="507"/>
      <c r="N6" s="509"/>
      <c r="O6" s="511"/>
    </row>
    <row r="7" spans="1:27" ht="17.899999999999999" customHeight="1">
      <c r="A7" s="11"/>
      <c r="B7" s="2"/>
      <c r="C7" s="2"/>
      <c r="D7" s="2"/>
      <c r="E7" s="239"/>
      <c r="F7" s="13"/>
      <c r="G7" s="2"/>
      <c r="H7" s="2"/>
      <c r="I7" s="5"/>
      <c r="K7" s="465"/>
      <c r="L7" s="506"/>
      <c r="M7" s="507"/>
      <c r="N7" s="509"/>
      <c r="O7" s="511"/>
    </row>
    <row r="8" spans="1:27" ht="17.899999999999999" customHeight="1">
      <c r="A8" s="469" t="s">
        <v>53</v>
      </c>
      <c r="B8" s="470"/>
      <c r="C8" s="361">
        <v>5</v>
      </c>
      <c r="D8" s="2"/>
      <c r="E8" s="29" t="s">
        <v>78</v>
      </c>
      <c r="F8" s="10"/>
      <c r="G8" s="10"/>
      <c r="H8" s="231">
        <f>ROUND(((C8*1+C10*2+C12*3+C14*4+C16*5)/100),0)</f>
        <v>4</v>
      </c>
      <c r="I8" s="5"/>
      <c r="K8" s="465" t="s">
        <v>62</v>
      </c>
      <c r="L8" s="506"/>
      <c r="M8" s="507"/>
      <c r="N8" s="512">
        <v>2</v>
      </c>
      <c r="O8" s="513" t="s">
        <v>63</v>
      </c>
    </row>
    <row r="9" spans="1:27" ht="17.899999999999999" customHeight="1">
      <c r="A9" s="185"/>
      <c r="B9" s="235"/>
      <c r="C9" s="235"/>
      <c r="D9" s="2"/>
      <c r="E9" s="239"/>
      <c r="F9" s="10"/>
      <c r="G9" s="10"/>
      <c r="H9" s="2"/>
      <c r="I9" s="5"/>
      <c r="K9" s="465"/>
      <c r="L9" s="506"/>
      <c r="M9" s="507"/>
      <c r="N9" s="512"/>
      <c r="O9" s="513"/>
    </row>
    <row r="10" spans="1:27" ht="17.899999999999999" customHeight="1">
      <c r="A10" s="469" t="s">
        <v>54</v>
      </c>
      <c r="B10" s="470"/>
      <c r="C10" s="361">
        <v>37</v>
      </c>
      <c r="D10" s="2"/>
      <c r="E10" s="239"/>
      <c r="F10" s="2"/>
      <c r="G10" s="2"/>
      <c r="H10" s="2"/>
      <c r="I10" s="5"/>
      <c r="K10" s="465" t="s">
        <v>64</v>
      </c>
      <c r="L10" s="506"/>
      <c r="M10" s="507"/>
      <c r="N10" s="514">
        <v>3</v>
      </c>
      <c r="O10" s="515" t="s">
        <v>65</v>
      </c>
    </row>
    <row r="11" spans="1:27" ht="14.15" customHeight="1">
      <c r="A11" s="185"/>
      <c r="B11" s="235"/>
      <c r="C11" s="235"/>
      <c r="D11" s="2"/>
      <c r="E11" s="239"/>
      <c r="F11" s="13"/>
      <c r="G11" s="2"/>
      <c r="H11" s="2"/>
      <c r="I11" s="5"/>
      <c r="K11" s="465"/>
      <c r="L11" s="506"/>
      <c r="M11" s="507"/>
      <c r="N11" s="514"/>
      <c r="O11" s="515"/>
    </row>
    <row r="12" spans="1:27" ht="17.899999999999999" customHeight="1">
      <c r="A12" s="469" t="s">
        <v>55</v>
      </c>
      <c r="B12" s="470"/>
      <c r="C12" s="361">
        <v>9</v>
      </c>
      <c r="D12" s="2"/>
      <c r="E12" s="239"/>
      <c r="F12" s="13"/>
      <c r="G12" s="2"/>
      <c r="H12" s="13"/>
      <c r="I12" s="5"/>
      <c r="K12" s="465"/>
      <c r="L12" s="506"/>
      <c r="M12" s="507"/>
      <c r="N12" s="514"/>
      <c r="O12" s="515"/>
    </row>
    <row r="13" spans="1:27" ht="17.899999999999999" customHeight="1">
      <c r="A13" s="248"/>
      <c r="B13" s="244"/>
      <c r="C13" s="244"/>
      <c r="D13" s="2"/>
      <c r="E13" s="2"/>
      <c r="F13" s="13"/>
      <c r="G13" s="2"/>
      <c r="H13" s="2"/>
      <c r="I13" s="5"/>
      <c r="K13" s="465" t="s">
        <v>66</v>
      </c>
      <c r="L13" s="506"/>
      <c r="M13" s="507"/>
      <c r="N13" s="523">
        <v>4</v>
      </c>
      <c r="O13" s="524" t="s">
        <v>67</v>
      </c>
    </row>
    <row r="14" spans="1:27" ht="17.899999999999999" customHeight="1">
      <c r="A14" s="469" t="s">
        <v>56</v>
      </c>
      <c r="B14" s="470"/>
      <c r="C14" s="361"/>
      <c r="D14" s="15"/>
      <c r="E14" s="442" t="s">
        <v>139</v>
      </c>
      <c r="F14" s="442"/>
      <c r="G14" s="442"/>
      <c r="H14" s="442"/>
      <c r="I14" s="5"/>
      <c r="K14" s="465"/>
      <c r="L14" s="506"/>
      <c r="M14" s="507"/>
      <c r="N14" s="523"/>
      <c r="O14" s="524"/>
    </row>
    <row r="15" spans="1:27" ht="17.899999999999999" customHeight="1">
      <c r="A15" s="11"/>
      <c r="B15" s="15"/>
      <c r="C15" s="15"/>
      <c r="D15" s="15"/>
      <c r="E15" s="442"/>
      <c r="F15" s="442"/>
      <c r="G15" s="442"/>
      <c r="H15" s="442"/>
      <c r="I15" s="5"/>
      <c r="K15" s="465" t="s">
        <v>68</v>
      </c>
      <c r="L15" s="506"/>
      <c r="M15" s="507"/>
      <c r="N15" s="518">
        <v>5</v>
      </c>
      <c r="O15" s="520" t="s">
        <v>69</v>
      </c>
    </row>
    <row r="16" spans="1:27" ht="17.899999999999999" customHeight="1" thickBot="1">
      <c r="A16" s="469" t="s">
        <v>58</v>
      </c>
      <c r="B16" s="470"/>
      <c r="C16" s="361">
        <v>49</v>
      </c>
      <c r="D16" s="15"/>
      <c r="E16" s="2"/>
      <c r="F16" s="2"/>
      <c r="G16" s="2"/>
      <c r="H16" s="2"/>
      <c r="I16" s="5"/>
      <c r="K16" s="467"/>
      <c r="L16" s="516"/>
      <c r="M16" s="517"/>
      <c r="N16" s="519"/>
      <c r="O16" s="521"/>
    </row>
    <row r="17" spans="1:15" ht="17.899999999999999" customHeight="1">
      <c r="A17" s="247"/>
      <c r="B17" s="343"/>
      <c r="C17" s="16"/>
      <c r="D17" s="15"/>
      <c r="E17" s="2"/>
      <c r="F17" s="2"/>
      <c r="G17" s="2"/>
      <c r="H17" s="2"/>
      <c r="I17" s="5"/>
      <c r="K17" s="281"/>
      <c r="L17" s="281"/>
      <c r="M17" s="281"/>
      <c r="N17" s="359"/>
      <c r="O17" s="359"/>
    </row>
    <row r="18" spans="1:15" ht="17.899999999999999" customHeight="1">
      <c r="A18" s="469" t="s">
        <v>380</v>
      </c>
      <c r="B18" s="470"/>
      <c r="C18" s="279">
        <f>SUM(C8:C16)</f>
        <v>100</v>
      </c>
      <c r="D18" s="15"/>
      <c r="E18" s="2"/>
      <c r="F18" s="2"/>
      <c r="G18" s="2"/>
      <c r="H18" s="2"/>
      <c r="I18" s="5"/>
      <c r="K18" s="281"/>
      <c r="L18" s="281"/>
      <c r="M18" s="281"/>
      <c r="N18" s="359"/>
      <c r="O18" s="359"/>
    </row>
    <row r="19" spans="1:15" ht="17.899999999999999" customHeight="1">
      <c r="A19" s="14"/>
      <c r="B19" s="236"/>
      <c r="C19" s="236"/>
      <c r="D19" s="353"/>
      <c r="E19" s="353"/>
      <c r="F19" s="354"/>
      <c r="G19" s="3"/>
      <c r="H19" s="3"/>
      <c r="I19" s="7"/>
    </row>
    <row r="20" spans="1:15" ht="17.899999999999999" customHeight="1">
      <c r="A20" s="17"/>
      <c r="B20" s="4"/>
      <c r="C20" s="4"/>
      <c r="D20" s="4"/>
      <c r="E20" s="4"/>
      <c r="F20" s="4"/>
      <c r="G20" s="4"/>
      <c r="H20" s="4"/>
      <c r="I20" s="12"/>
    </row>
    <row r="21" spans="1:15" ht="17.899999999999999" customHeight="1">
      <c r="A21" s="18" t="s">
        <v>52</v>
      </c>
      <c r="B21" s="2"/>
      <c r="C21" s="237"/>
      <c r="D21" s="522"/>
      <c r="E21" s="522"/>
      <c r="F21" s="522"/>
      <c r="G21" s="238"/>
      <c r="H21" s="2"/>
      <c r="I21" s="5"/>
    </row>
    <row r="22" spans="1:15" ht="17.899999999999999" customHeight="1">
      <c r="A22" s="448" t="s">
        <v>51</v>
      </c>
      <c r="B22" s="449"/>
      <c r="C22" s="237"/>
      <c r="D22" s="2"/>
      <c r="E22" s="2"/>
      <c r="F22" s="2"/>
      <c r="G22" s="2"/>
      <c r="H22" s="2"/>
      <c r="I22" s="5"/>
    </row>
    <row r="23" spans="1:15" ht="17.899999999999999" customHeight="1">
      <c r="A23" s="185"/>
      <c r="B23" s="2"/>
      <c r="C23" s="2"/>
      <c r="D23" s="2"/>
      <c r="E23" s="2"/>
      <c r="F23" s="10"/>
      <c r="G23" s="10"/>
      <c r="H23" s="2"/>
      <c r="I23" s="5"/>
    </row>
    <row r="24" spans="1:15" ht="17.899999999999999" customHeight="1">
      <c r="A24" s="469" t="s">
        <v>57</v>
      </c>
      <c r="B24" s="470"/>
      <c r="C24" s="289"/>
      <c r="D24" s="2"/>
      <c r="E24" s="2"/>
      <c r="F24" s="10"/>
      <c r="G24" s="10"/>
      <c r="H24" s="2"/>
      <c r="I24" s="5"/>
    </row>
    <row r="25" spans="1:15" ht="17.899999999999999" customHeight="1">
      <c r="A25" s="11"/>
      <c r="B25" s="2"/>
      <c r="C25" s="2"/>
      <c r="D25" s="2"/>
      <c r="E25" s="239"/>
      <c r="F25" s="10"/>
      <c r="G25" s="10"/>
      <c r="H25" s="2"/>
      <c r="I25" s="5"/>
    </row>
    <row r="26" spans="1:15" ht="17.899999999999999" customHeight="1">
      <c r="A26" s="469" t="s">
        <v>53</v>
      </c>
      <c r="B26" s="470"/>
      <c r="C26" s="361">
        <v>6</v>
      </c>
      <c r="D26" s="2"/>
      <c r="E26" s="29" t="s">
        <v>78</v>
      </c>
      <c r="F26" s="10"/>
      <c r="G26" s="10"/>
      <c r="H26" s="231">
        <f>ROUND(((C26*1+C28*2+C30*3+C32*4+C34*5)/100),0)</f>
        <v>5</v>
      </c>
      <c r="I26" s="5"/>
    </row>
    <row r="27" spans="1:15" ht="17.899999999999999" customHeight="1">
      <c r="A27" s="185"/>
      <c r="B27" s="235"/>
      <c r="C27" s="235"/>
      <c r="D27" s="2"/>
      <c r="E27" s="239"/>
      <c r="F27" s="10"/>
      <c r="G27" s="10"/>
      <c r="H27" s="2"/>
      <c r="I27" s="5"/>
    </row>
    <row r="28" spans="1:15" ht="17.899999999999999" customHeight="1">
      <c r="A28" s="469" t="s">
        <v>54</v>
      </c>
      <c r="B28" s="470"/>
      <c r="C28" s="361">
        <v>2</v>
      </c>
      <c r="D28" s="2"/>
      <c r="E28" s="239"/>
      <c r="F28" s="2"/>
      <c r="G28" s="2"/>
      <c r="H28" s="2"/>
      <c r="I28" s="5"/>
    </row>
    <row r="29" spans="1:15" ht="17.899999999999999" customHeight="1">
      <c r="A29" s="185"/>
      <c r="B29" s="235"/>
      <c r="C29" s="235"/>
      <c r="D29" s="2"/>
      <c r="E29" s="239"/>
      <c r="F29" s="13"/>
      <c r="G29" s="2"/>
      <c r="H29" s="2"/>
      <c r="I29" s="5"/>
    </row>
    <row r="30" spans="1:15" ht="17.899999999999999" customHeight="1">
      <c r="A30" s="469" t="s">
        <v>55</v>
      </c>
      <c r="B30" s="470"/>
      <c r="C30" s="361">
        <v>2</v>
      </c>
      <c r="D30" s="2"/>
      <c r="E30" s="239"/>
      <c r="F30" s="13"/>
      <c r="G30" s="2"/>
      <c r="H30" s="13"/>
      <c r="I30" s="5"/>
    </row>
    <row r="31" spans="1:15" ht="17.899999999999999" customHeight="1">
      <c r="A31" s="248"/>
      <c r="B31" s="239"/>
      <c r="C31" s="244"/>
      <c r="D31" s="2"/>
      <c r="E31" s="2"/>
      <c r="F31" s="13"/>
      <c r="G31" s="2"/>
      <c r="H31" s="2"/>
      <c r="I31" s="5"/>
    </row>
    <row r="32" spans="1:15" ht="17.899999999999999" customHeight="1">
      <c r="A32" s="469" t="s">
        <v>56</v>
      </c>
      <c r="B32" s="470"/>
      <c r="C32" s="361"/>
      <c r="D32" s="2"/>
      <c r="E32" s="442" t="s">
        <v>139</v>
      </c>
      <c r="F32" s="442"/>
      <c r="G32" s="442"/>
      <c r="H32" s="442"/>
      <c r="I32" s="5"/>
    </row>
    <row r="33" spans="1:10" ht="17.899999999999999" customHeight="1">
      <c r="A33" s="11"/>
      <c r="B33" s="15"/>
      <c r="C33" s="15"/>
      <c r="D33" s="2"/>
      <c r="E33" s="442"/>
      <c r="F33" s="442"/>
      <c r="G33" s="442"/>
      <c r="H33" s="442"/>
      <c r="I33" s="5"/>
    </row>
    <row r="34" spans="1:10" ht="17.899999999999999" customHeight="1">
      <c r="A34" s="469" t="s">
        <v>58</v>
      </c>
      <c r="B34" s="470"/>
      <c r="C34" s="361">
        <v>90</v>
      </c>
      <c r="D34" s="2"/>
      <c r="E34" s="2"/>
      <c r="F34" s="13"/>
      <c r="G34" s="2"/>
      <c r="H34" s="2"/>
      <c r="I34" s="5"/>
    </row>
    <row r="35" spans="1:10" ht="17.899999999999999" customHeight="1">
      <c r="A35" s="247"/>
      <c r="B35" s="343"/>
      <c r="C35" s="16"/>
      <c r="D35" s="2"/>
      <c r="E35" s="2"/>
      <c r="F35" s="13"/>
      <c r="G35" s="2"/>
      <c r="H35" s="2"/>
      <c r="I35" s="5"/>
    </row>
    <row r="36" spans="1:10" ht="17.899999999999999" customHeight="1">
      <c r="A36" s="469" t="s">
        <v>380</v>
      </c>
      <c r="B36" s="470"/>
      <c r="C36" s="16">
        <f>SUM(C26:C34)</f>
        <v>100</v>
      </c>
      <c r="D36" s="2"/>
      <c r="E36" s="2"/>
      <c r="F36" s="13"/>
      <c r="G36" s="2"/>
      <c r="H36" s="2"/>
      <c r="I36" s="5"/>
    </row>
    <row r="37" spans="1:10" ht="17.899999999999999" customHeight="1">
      <c r="A37" s="14"/>
      <c r="B37" s="249"/>
      <c r="C37" s="249"/>
      <c r="D37" s="249"/>
      <c r="E37" s="3"/>
      <c r="F37" s="19"/>
      <c r="G37" s="19"/>
      <c r="H37" s="3"/>
      <c r="I37" s="7"/>
    </row>
    <row r="38" spans="1:10" ht="17.899999999999999" customHeight="1">
      <c r="A38" s="250"/>
      <c r="B38" s="250"/>
      <c r="C38" s="251"/>
      <c r="D38" s="251"/>
      <c r="E38" s="250"/>
      <c r="F38" s="252"/>
      <c r="G38" s="252"/>
      <c r="H38" s="253"/>
      <c r="I38" s="250"/>
      <c r="J38" s="250"/>
    </row>
    <row r="39" spans="1:10" ht="17.899999999999999" customHeight="1">
      <c r="A39" s="250"/>
      <c r="B39" s="251"/>
      <c r="C39" s="251"/>
      <c r="D39" s="251"/>
      <c r="E39" s="250"/>
      <c r="F39" s="250"/>
      <c r="G39" s="250"/>
      <c r="H39" s="250"/>
      <c r="I39" s="250"/>
      <c r="J39" s="250"/>
    </row>
    <row r="40" spans="1:10" ht="17.899999999999999" customHeight="1">
      <c r="A40" s="250"/>
      <c r="B40" s="251"/>
      <c r="C40" s="251"/>
      <c r="D40" s="251"/>
      <c r="E40" s="254"/>
      <c r="F40" s="255"/>
      <c r="G40" s="250"/>
      <c r="H40" s="250"/>
      <c r="I40" s="250"/>
      <c r="J40" s="250"/>
    </row>
    <row r="41" spans="1:10" ht="17.899999999999999" customHeight="1">
      <c r="A41" s="250"/>
      <c r="B41" s="250"/>
      <c r="C41" s="250"/>
      <c r="D41" s="250"/>
      <c r="E41" s="250"/>
      <c r="F41" s="250"/>
      <c r="G41" s="250"/>
      <c r="H41" s="250"/>
      <c r="I41" s="250"/>
      <c r="J41" s="250"/>
    </row>
  </sheetData>
  <sheetProtection algorithmName="SHA-512" hashValue="oesObeJNlcTfwsRF/a+r9/VD9Ydrk3cSrLir2brdtPjsCbegAsPr7Jq+0fIaUZDkwFt47cETL8NHc06FXf3UDw==" saltValue="BlWuotWPqq9n9QnsnyAnsw==" spinCount="100000" sheet="1" objects="1" scenarios="1"/>
  <customSheetViews>
    <customSheetView guid="{B75063BA-4717-43F8-8B16-CDCBE07E925A}" showPageBreaks="1">
      <selection activeCell="N8" sqref="N8:N10"/>
    </customSheetView>
  </customSheetViews>
  <mergeCells count="38">
    <mergeCell ref="A28:B28"/>
    <mergeCell ref="K15:M16"/>
    <mergeCell ref="N15:N16"/>
    <mergeCell ref="O15:O16"/>
    <mergeCell ref="D21:F21"/>
    <mergeCell ref="E14:H15"/>
    <mergeCell ref="K13:M14"/>
    <mergeCell ref="N13:N14"/>
    <mergeCell ref="O13:O14"/>
    <mergeCell ref="A1:AA1"/>
    <mergeCell ref="A18:B18"/>
    <mergeCell ref="N4:O4"/>
    <mergeCell ref="K4:M4"/>
    <mergeCell ref="K5:M7"/>
    <mergeCell ref="N5:N7"/>
    <mergeCell ref="O5:O7"/>
    <mergeCell ref="K8:M9"/>
    <mergeCell ref="N8:N9"/>
    <mergeCell ref="O8:O9"/>
    <mergeCell ref="K10:M12"/>
    <mergeCell ref="N10:N12"/>
    <mergeCell ref="O10:O12"/>
    <mergeCell ref="A36:B36"/>
    <mergeCell ref="A30:B30"/>
    <mergeCell ref="A32:B32"/>
    <mergeCell ref="A34:B34"/>
    <mergeCell ref="D3:F3"/>
    <mergeCell ref="A4:B4"/>
    <mergeCell ref="A24:B24"/>
    <mergeCell ref="A6:C6"/>
    <mergeCell ref="A8:B8"/>
    <mergeCell ref="A10:B10"/>
    <mergeCell ref="A12:B12"/>
    <mergeCell ref="A14:B14"/>
    <mergeCell ref="A16:B16"/>
    <mergeCell ref="A22:B22"/>
    <mergeCell ref="E32:H33"/>
    <mergeCell ref="A26:B26"/>
  </mergeCells>
  <conditionalFormatting sqref="C18 C36">
    <cfRule type="cellIs" dxfId="21" priority="1" operator="notBetween">
      <formula>99</formula>
      <formula>101</formula>
    </cfRule>
  </conditionalFormatting>
  <dataValidations count="1">
    <dataValidation type="decimal" allowBlank="1" showInputMessage="1" showErrorMessage="1" sqref="C8 C10 C12 C14 C16 C26 C28 C32 C34 C30" xr:uid="{3958DB3B-20C8-41EF-9791-78BE608BEB8C}">
      <formula1>0</formula1>
      <formula2>100</formula2>
    </dataValidation>
  </dataValidations>
  <pageMargins left="0.70866141732283472" right="0.70866141732283472" top="0.78740157480314965" bottom="0.78740157480314965" header="0.31496062992125984" footer="0.31496062992125984"/>
  <pageSetup paperSize="9" scale="73" orientation="landscape" r:id="rId1"/>
  <headerFooter>
    <oddHeader>&amp;L&amp;D&amp;C&amp;A&amp;R&amp;P/&amp;N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E67C6-B2EE-42CC-9F19-98F282555BB2}">
  <sheetPr>
    <pageSetUpPr autoPageBreaks="0" fitToPage="1"/>
  </sheetPr>
  <dimension ref="A1:AA33"/>
  <sheetViews>
    <sheetView zoomScaleNormal="100" workbookViewId="0">
      <selection sqref="A1:AA1"/>
    </sheetView>
  </sheetViews>
  <sheetFormatPr baseColWidth="10" defaultRowHeight="15" customHeight="1"/>
  <cols>
    <col min="2" max="2" width="7.54296875" customWidth="1"/>
    <col min="3" max="3" width="12.54296875" customWidth="1"/>
    <col min="13" max="13" width="10.54296875" customWidth="1"/>
    <col min="14" max="14" width="21.54296875" customWidth="1"/>
    <col min="15" max="15" width="27.453125" customWidth="1"/>
  </cols>
  <sheetData>
    <row r="1" spans="1:27" ht="17.899999999999999" customHeight="1">
      <c r="A1" s="497" t="str">
        <f>IF(Stammdaten!C5&lt;&gt;"", Stammdaten!C5,"")</f>
        <v>Revitalisierung am Gewässer XY</v>
      </c>
      <c r="B1" s="497"/>
      <c r="C1" s="497"/>
      <c r="D1" s="497"/>
      <c r="E1" s="497"/>
      <c r="F1" s="497"/>
      <c r="G1" s="497"/>
      <c r="H1" s="497"/>
      <c r="I1" s="497"/>
      <c r="J1" s="432"/>
      <c r="K1" s="432"/>
      <c r="L1" s="432"/>
      <c r="M1" s="432"/>
      <c r="N1" s="432"/>
      <c r="O1" s="432"/>
      <c r="P1" s="432"/>
      <c r="Q1" s="432"/>
      <c r="R1" s="432"/>
      <c r="S1" s="432"/>
      <c r="T1" s="432"/>
      <c r="U1" s="432"/>
      <c r="V1" s="432"/>
      <c r="W1" s="432"/>
      <c r="X1" s="432"/>
      <c r="Y1" s="432"/>
      <c r="Z1" s="432"/>
      <c r="AA1" s="432"/>
    </row>
    <row r="2" spans="1:27" ht="15" customHeight="1">
      <c r="A2" s="17"/>
      <c r="B2" s="4"/>
      <c r="C2" s="4"/>
      <c r="D2" s="4"/>
      <c r="E2" s="4"/>
      <c r="F2" s="4"/>
      <c r="G2" s="4"/>
      <c r="H2" s="4"/>
      <c r="I2" s="12"/>
    </row>
    <row r="3" spans="1:27" ht="20.149999999999999" customHeight="1" thickBot="1">
      <c r="A3" s="18" t="s">
        <v>28</v>
      </c>
      <c r="B3" s="2"/>
      <c r="C3" s="2"/>
      <c r="D3" s="2"/>
      <c r="E3" s="2"/>
      <c r="F3" s="2"/>
      <c r="G3" s="2"/>
      <c r="H3" s="2"/>
      <c r="I3" s="5"/>
    </row>
    <row r="4" spans="1:27" ht="15" customHeight="1">
      <c r="A4" s="448" t="s">
        <v>29</v>
      </c>
      <c r="B4" s="449"/>
      <c r="C4" s="522"/>
      <c r="D4" s="522"/>
      <c r="E4" s="522"/>
      <c r="F4" s="522"/>
      <c r="G4" s="522"/>
      <c r="H4" s="10"/>
      <c r="I4" s="5"/>
      <c r="K4" s="453" t="s">
        <v>0</v>
      </c>
      <c r="L4" s="454"/>
      <c r="M4" s="455" t="s">
        <v>387</v>
      </c>
      <c r="N4" s="456"/>
    </row>
    <row r="5" spans="1:27" ht="15" customHeight="1">
      <c r="A5" s="11"/>
      <c r="B5" s="10"/>
      <c r="C5" s="2"/>
      <c r="D5" s="2"/>
      <c r="E5" s="2"/>
      <c r="F5" s="2"/>
      <c r="G5" s="2"/>
      <c r="H5" s="2"/>
      <c r="I5" s="5"/>
      <c r="K5" s="465" t="s">
        <v>2</v>
      </c>
      <c r="L5" s="466"/>
      <c r="M5" s="376">
        <v>1</v>
      </c>
      <c r="N5" s="270" t="s">
        <v>61</v>
      </c>
    </row>
    <row r="6" spans="1:27" ht="15" customHeight="1">
      <c r="A6" s="11"/>
      <c r="B6" s="2"/>
      <c r="C6" s="2"/>
      <c r="D6" s="2"/>
      <c r="E6" s="2"/>
      <c r="F6" s="2"/>
      <c r="G6" s="2"/>
      <c r="H6" s="2"/>
      <c r="I6" s="5"/>
      <c r="K6" s="465" t="s">
        <v>3</v>
      </c>
      <c r="L6" s="466"/>
      <c r="M6" s="240">
        <v>2</v>
      </c>
      <c r="N6" s="241" t="s">
        <v>63</v>
      </c>
    </row>
    <row r="7" spans="1:27" ht="15" customHeight="1">
      <c r="A7" s="11" t="s">
        <v>4</v>
      </c>
      <c r="B7" s="2"/>
      <c r="C7" s="23">
        <f>'GeStruk-Ist'!AA16</f>
        <v>3.3031914893617023</v>
      </c>
      <c r="D7" s="2"/>
      <c r="E7" s="2" t="s">
        <v>31</v>
      </c>
      <c r="F7" s="2"/>
      <c r="G7" s="23">
        <f>AVERAGE(C7,C9,C13,C11,C15)</f>
        <v>3.9537234042553195</v>
      </c>
      <c r="H7" s="13"/>
      <c r="I7" s="5"/>
      <c r="K7" s="465" t="s">
        <v>5</v>
      </c>
      <c r="L7" s="466"/>
      <c r="M7" s="242">
        <v>3</v>
      </c>
      <c r="N7" s="243" t="s">
        <v>65</v>
      </c>
    </row>
    <row r="8" spans="1:27" ht="15" customHeight="1">
      <c r="A8" s="11"/>
      <c r="B8" s="2"/>
      <c r="C8" s="2"/>
      <c r="D8" s="2"/>
      <c r="E8" s="2"/>
      <c r="F8" s="2"/>
      <c r="G8" s="2"/>
      <c r="H8" s="13"/>
      <c r="I8" s="5"/>
      <c r="K8" s="465" t="s">
        <v>7</v>
      </c>
      <c r="L8" s="466"/>
      <c r="M8" s="377">
        <v>4</v>
      </c>
      <c r="N8" s="274" t="s">
        <v>67</v>
      </c>
    </row>
    <row r="9" spans="1:27" ht="15" customHeight="1" thickBot="1">
      <c r="A9" s="11" t="s">
        <v>6</v>
      </c>
      <c r="B9" s="2"/>
      <c r="C9" s="23">
        <f>'GeStruk-Ist'!AA33</f>
        <v>5.3723404255319149</v>
      </c>
      <c r="D9" s="2"/>
      <c r="E9" s="422" t="s">
        <v>379</v>
      </c>
      <c r="F9" s="422"/>
      <c r="G9" s="2"/>
      <c r="H9" s="13"/>
      <c r="I9" s="5"/>
      <c r="K9" s="467" t="s">
        <v>9</v>
      </c>
      <c r="L9" s="468"/>
      <c r="M9" s="262">
        <v>5</v>
      </c>
      <c r="N9" s="263" t="s">
        <v>69</v>
      </c>
    </row>
    <row r="10" spans="1:27" ht="15" customHeight="1">
      <c r="A10" s="11"/>
      <c r="B10" s="2"/>
      <c r="C10" s="2"/>
      <c r="D10" s="2"/>
      <c r="E10" s="422"/>
      <c r="F10" s="422"/>
      <c r="G10" s="27" t="str">
        <f>VLOOKUP(G7,{0,"5";2.61,"4";3.51,"3";4.41,"2";5.31,"1"},2,1)</f>
        <v>3</v>
      </c>
      <c r="H10" s="13"/>
      <c r="I10" s="5"/>
    </row>
    <row r="11" spans="1:27" ht="15" customHeight="1">
      <c r="A11" s="11" t="s">
        <v>10</v>
      </c>
      <c r="B11" s="2"/>
      <c r="C11" s="23">
        <f>'GeStruk-Ist'!AA39</f>
        <v>4.1861702127659575</v>
      </c>
      <c r="D11" s="2"/>
      <c r="E11" s="2"/>
      <c r="F11" s="2"/>
      <c r="G11" s="2"/>
      <c r="H11" s="2"/>
      <c r="I11" s="5"/>
    </row>
    <row r="12" spans="1:27" ht="15" customHeight="1">
      <c r="A12" s="11"/>
      <c r="B12" s="2"/>
      <c r="C12" s="2"/>
      <c r="D12" s="2"/>
      <c r="E12" s="526" t="s">
        <v>378</v>
      </c>
      <c r="F12" s="526"/>
      <c r="G12" s="362" t="str">
        <f>IF('GeStruk-Ist'!AA28&lt;= 2,"ja","nein")</f>
        <v>nein</v>
      </c>
      <c r="H12" s="13"/>
      <c r="I12" s="5"/>
    </row>
    <row r="13" spans="1:27" ht="15" customHeight="1">
      <c r="A13" s="11" t="s">
        <v>8</v>
      </c>
      <c r="B13" s="2"/>
      <c r="C13" s="23">
        <f>'GeStruk-Ist'!AA45</f>
        <v>3.5</v>
      </c>
      <c r="D13" s="2"/>
      <c r="E13" s="2"/>
      <c r="F13" s="2"/>
      <c r="G13" s="2"/>
      <c r="H13" s="13"/>
      <c r="I13" s="5"/>
    </row>
    <row r="14" spans="1:27" ht="15" customHeight="1">
      <c r="A14" s="11"/>
      <c r="B14" s="2"/>
      <c r="C14" s="2"/>
      <c r="D14" s="2"/>
      <c r="E14" s="443" t="s">
        <v>80</v>
      </c>
      <c r="F14" s="443"/>
      <c r="G14" s="2"/>
      <c r="H14" s="2"/>
      <c r="I14" s="5"/>
    </row>
    <row r="15" spans="1:27" ht="15" customHeight="1">
      <c r="A15" s="11" t="s">
        <v>11</v>
      </c>
      <c r="B15" s="2"/>
      <c r="C15" s="23">
        <f>'GeStruk-Ist'!AA59</f>
        <v>3.4069148936170213</v>
      </c>
      <c r="D15" s="2"/>
      <c r="E15" s="443"/>
      <c r="F15" s="443"/>
      <c r="G15" s="20">
        <f>IF(G10="5",5,(IF(G12="Ja",1,0)+G10))</f>
        <v>3</v>
      </c>
      <c r="H15" s="2"/>
      <c r="I15" s="5"/>
    </row>
    <row r="16" spans="1:27" ht="15" customHeight="1">
      <c r="A16" s="11"/>
      <c r="B16" s="2"/>
      <c r="C16" s="2"/>
      <c r="D16" s="2"/>
      <c r="E16" s="525"/>
      <c r="F16" s="525"/>
      <c r="G16" s="525"/>
      <c r="H16" s="525"/>
      <c r="I16" s="5"/>
    </row>
    <row r="17" spans="1:9" ht="15" customHeight="1">
      <c r="A17" s="14"/>
      <c r="B17" s="3"/>
      <c r="C17" s="3"/>
      <c r="D17" s="3"/>
      <c r="E17" s="3"/>
      <c r="F17" s="3"/>
      <c r="G17" s="3"/>
      <c r="H17" s="3"/>
      <c r="I17" s="7"/>
    </row>
    <row r="18" spans="1:9" ht="15" customHeight="1">
      <c r="A18" s="17"/>
      <c r="B18" s="4"/>
      <c r="C18" s="4"/>
      <c r="D18" s="4"/>
      <c r="E18" s="4"/>
      <c r="F18" s="4"/>
      <c r="G18" s="4"/>
      <c r="H18" s="4"/>
      <c r="I18" s="12"/>
    </row>
    <row r="19" spans="1:9" ht="19.399999999999999" customHeight="1">
      <c r="A19" s="18" t="s">
        <v>28</v>
      </c>
      <c r="B19" s="2"/>
      <c r="C19" s="2"/>
      <c r="D19" s="2"/>
      <c r="E19" s="522"/>
      <c r="F19" s="522"/>
      <c r="G19" s="522"/>
      <c r="H19" s="10"/>
      <c r="I19" s="5"/>
    </row>
    <row r="20" spans="1:9" ht="15" customHeight="1">
      <c r="A20" s="448" t="s">
        <v>51</v>
      </c>
      <c r="B20" s="449"/>
      <c r="C20" s="522"/>
      <c r="D20" s="522"/>
      <c r="E20" s="2"/>
      <c r="F20" s="2"/>
      <c r="G20" s="2"/>
      <c r="H20" s="2"/>
      <c r="I20" s="5"/>
    </row>
    <row r="21" spans="1:9" ht="15" customHeight="1">
      <c r="A21" s="11"/>
      <c r="B21" s="10"/>
      <c r="C21" s="2"/>
      <c r="D21" s="2"/>
      <c r="E21" s="2"/>
      <c r="F21" s="2"/>
      <c r="G21" s="2"/>
      <c r="H21" s="2"/>
      <c r="I21" s="5"/>
    </row>
    <row r="22" spans="1:9" ht="15" customHeight="1">
      <c r="A22" s="11"/>
      <c r="B22" s="2"/>
      <c r="C22" s="2"/>
      <c r="D22" s="2"/>
      <c r="E22" s="2" t="s">
        <v>31</v>
      </c>
      <c r="F22" s="2"/>
      <c r="G22" s="23">
        <f>AVERAGE(C23,C25,C29,C27,C31)</f>
        <v>3.2</v>
      </c>
      <c r="H22" s="13"/>
      <c r="I22" s="5"/>
    </row>
    <row r="23" spans="1:9" ht="15" customHeight="1">
      <c r="A23" s="11" t="s">
        <v>4</v>
      </c>
      <c r="B23" s="2"/>
      <c r="C23" s="23">
        <f>'GeStruk-Ziel'!Q15</f>
        <v>4.5</v>
      </c>
      <c r="D23" s="2"/>
      <c r="E23" s="2"/>
      <c r="F23" s="2"/>
      <c r="G23" s="2"/>
      <c r="H23" s="13"/>
      <c r="I23" s="5"/>
    </row>
    <row r="24" spans="1:9" ht="15" customHeight="1">
      <c r="A24" s="11"/>
      <c r="B24" s="2"/>
      <c r="C24" s="2"/>
      <c r="D24" s="2"/>
      <c r="E24" s="422" t="s">
        <v>379</v>
      </c>
      <c r="F24" s="422"/>
      <c r="G24" s="2"/>
      <c r="H24" s="13"/>
      <c r="I24" s="5"/>
    </row>
    <row r="25" spans="1:9" ht="15" customHeight="1">
      <c r="A25" s="11" t="s">
        <v>6</v>
      </c>
      <c r="B25" s="2"/>
      <c r="C25" s="23">
        <f>'GeStruk-Ziel'!Q32</f>
        <v>4.5</v>
      </c>
      <c r="D25" s="2"/>
      <c r="E25" s="422"/>
      <c r="F25" s="422"/>
      <c r="G25" s="27" t="str">
        <f>VLOOKUP(G22,{0,"5";2.61,"4";3.51,"3";4.41,"2";5.31,"1"},2,1)</f>
        <v>4</v>
      </c>
      <c r="H25" s="13"/>
      <c r="I25" s="5"/>
    </row>
    <row r="26" spans="1:9" ht="15" customHeight="1">
      <c r="A26" s="11"/>
      <c r="B26" s="2"/>
      <c r="C26" s="2"/>
      <c r="D26" s="2"/>
      <c r="E26" s="2"/>
      <c r="F26" s="2"/>
      <c r="G26" s="2"/>
      <c r="H26" s="2"/>
      <c r="I26" s="5"/>
    </row>
    <row r="27" spans="1:9" ht="15" customHeight="1">
      <c r="A27" s="11" t="s">
        <v>10</v>
      </c>
      <c r="B27" s="2"/>
      <c r="C27" s="23">
        <f>'GeStruk-Ziel'!Q38</f>
        <v>2</v>
      </c>
      <c r="D27" s="2"/>
      <c r="E27" s="422" t="s">
        <v>378</v>
      </c>
      <c r="F27" s="422"/>
      <c r="G27" s="362" t="str">
        <f>IF('GeStruk-Ziel'!Q27&lt;= 2,"ja","nein")</f>
        <v>ja</v>
      </c>
      <c r="H27" s="13"/>
      <c r="I27" s="5"/>
    </row>
    <row r="28" spans="1:9" ht="15" customHeight="1">
      <c r="A28" s="11"/>
      <c r="B28" s="2"/>
      <c r="C28" s="2"/>
      <c r="D28" s="2"/>
      <c r="E28" s="9"/>
      <c r="F28" s="9"/>
      <c r="H28" s="13"/>
      <c r="I28" s="5"/>
    </row>
    <row r="29" spans="1:9" ht="15" customHeight="1">
      <c r="A29" s="11" t="s">
        <v>8</v>
      </c>
      <c r="B29" s="2"/>
      <c r="C29" s="23">
        <f>'GeStruk-Ziel'!Q44</f>
        <v>2.5</v>
      </c>
      <c r="D29" s="2"/>
      <c r="E29" s="2"/>
      <c r="F29" s="15"/>
      <c r="G29" s="15"/>
      <c r="H29" s="15"/>
      <c r="I29" s="5"/>
    </row>
    <row r="30" spans="1:9" ht="15" customHeight="1">
      <c r="A30" s="11"/>
      <c r="B30" s="2"/>
      <c r="C30" s="2"/>
      <c r="D30" s="2"/>
      <c r="E30" s="443" t="s">
        <v>80</v>
      </c>
      <c r="F30" s="443"/>
      <c r="H30" s="2"/>
      <c r="I30" s="5"/>
    </row>
    <row r="31" spans="1:9" ht="15" customHeight="1">
      <c r="A31" s="11" t="s">
        <v>11</v>
      </c>
      <c r="B31" s="2"/>
      <c r="C31" s="23">
        <f>'GeStruk-Ziel'!Q58</f>
        <v>2.5</v>
      </c>
      <c r="D31" s="2"/>
      <c r="E31" s="443"/>
      <c r="F31" s="443"/>
      <c r="G31" s="20">
        <f>IF(G25="5",5,(IF(G27="Ja",1,0)+G25))</f>
        <v>5</v>
      </c>
      <c r="H31" s="2"/>
      <c r="I31" s="5"/>
    </row>
    <row r="32" spans="1:9" ht="15" customHeight="1">
      <c r="A32" s="11"/>
      <c r="B32" s="2"/>
      <c r="C32" s="2"/>
      <c r="D32" s="2"/>
      <c r="E32" s="525"/>
      <c r="F32" s="525"/>
      <c r="G32" s="525"/>
      <c r="H32" s="525"/>
      <c r="I32" s="5"/>
    </row>
    <row r="33" spans="1:9" ht="15" customHeight="1">
      <c r="A33" s="28"/>
      <c r="B33" s="19"/>
      <c r="C33" s="19"/>
      <c r="D33" s="19"/>
      <c r="E33" s="3"/>
      <c r="F33" s="3"/>
      <c r="G33" s="3"/>
      <c r="H33" s="3"/>
      <c r="I33" s="7"/>
    </row>
  </sheetData>
  <sheetProtection algorithmName="SHA-512" hashValue="Akb1XKTcnbPhJE6Qe05GIbFdmgWnqscAmM+9tQQitDcxloWEgm92om6pJWQYEB387PGA11hU3H847sWN0DXiZw==" saltValue="urWr/BrWXWR1lIPpjjQXjQ==" spinCount="100000" sheet="1" objects="1" scenarios="1"/>
  <customSheetViews>
    <customSheetView guid="{B75063BA-4717-43F8-8B16-CDCBE07E925A}" showPageBreaks="1">
      <selection activeCell="L22" sqref="L22"/>
    </customSheetView>
  </customSheetViews>
  <mergeCells count="22">
    <mergeCell ref="E27:F27"/>
    <mergeCell ref="E32:H32"/>
    <mergeCell ref="E14:F15"/>
    <mergeCell ref="E30:F31"/>
    <mergeCell ref="E19:G19"/>
    <mergeCell ref="E24:F25"/>
    <mergeCell ref="A1:AA1"/>
    <mergeCell ref="E12:F12"/>
    <mergeCell ref="A4:B4"/>
    <mergeCell ref="M4:N4"/>
    <mergeCell ref="K5:L5"/>
    <mergeCell ref="K6:L6"/>
    <mergeCell ref="K7:L7"/>
    <mergeCell ref="K8:L8"/>
    <mergeCell ref="K9:L9"/>
    <mergeCell ref="A20:B20"/>
    <mergeCell ref="C20:D20"/>
    <mergeCell ref="K4:L4"/>
    <mergeCell ref="C4:D4"/>
    <mergeCell ref="E4:G4"/>
    <mergeCell ref="E9:F10"/>
    <mergeCell ref="E16:H16"/>
  </mergeCells>
  <conditionalFormatting sqref="G10 G25">
    <cfRule type="cellIs" dxfId="20" priority="16" operator="equal">
      <formula>5</formula>
    </cfRule>
    <cfRule type="cellIs" dxfId="19" priority="17" operator="equal">
      <formula>4</formula>
    </cfRule>
    <cfRule type="cellIs" dxfId="18" priority="18" operator="equal">
      <formula>3</formula>
    </cfRule>
    <cfRule type="cellIs" dxfId="17" priority="19" operator="equal">
      <formula>$M$6</formula>
    </cfRule>
    <cfRule type="cellIs" dxfId="16" priority="20" operator="equal">
      <formula>$M$5</formula>
    </cfRule>
  </conditionalFormatting>
  <dataValidations count="1">
    <dataValidation type="list" allowBlank="1" showInputMessage="1" showErrorMessage="1" sqref="J4" xr:uid="{64251CFF-B690-4F32-ABE3-BE5994B8FD64}"/>
  </dataValidations>
  <pageMargins left="0.70866141732283472" right="0.70866141732283472" top="0.78740157480314965" bottom="0.78740157480314965" header="0.31496062992125984" footer="0.31496062992125984"/>
  <pageSetup paperSize="9" scale="81" orientation="landscape" r:id="rId1"/>
  <headerFooter>
    <oddHeader>&amp;L&amp;D&amp;C&amp;A&amp;R&amp;P/&amp;N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5AFEB-F64C-4399-9276-AF156AD1ECFD}">
  <sheetPr>
    <pageSetUpPr autoPageBreaks="0" fitToPage="1"/>
  </sheetPr>
  <dimension ref="A1:AA47"/>
  <sheetViews>
    <sheetView zoomScaleNormal="100" workbookViewId="0">
      <selection activeCell="H14" sqref="H14"/>
    </sheetView>
  </sheetViews>
  <sheetFormatPr baseColWidth="10" defaultRowHeight="14.5"/>
  <cols>
    <col min="1" max="1" width="11.453125" customWidth="1"/>
    <col min="3" max="3" width="8.453125" customWidth="1"/>
    <col min="4" max="4" width="11.54296875" style="161" customWidth="1"/>
    <col min="6" max="6" width="15.54296875" customWidth="1"/>
    <col min="7" max="7" width="14.54296875" customWidth="1"/>
    <col min="8" max="8" width="10.54296875" customWidth="1"/>
    <col min="16" max="16" width="15.54296875" customWidth="1"/>
  </cols>
  <sheetData>
    <row r="1" spans="1:27" ht="17.899999999999999" customHeight="1">
      <c r="A1" s="497" t="str">
        <f>IF(Stammdaten!C5&lt;&gt;"", Stammdaten!C5,"")</f>
        <v>Revitalisierung am Gewässer XY</v>
      </c>
      <c r="B1" s="497"/>
      <c r="C1" s="497"/>
      <c r="D1" s="497"/>
      <c r="E1" s="497"/>
      <c r="F1" s="497"/>
      <c r="G1" s="497"/>
      <c r="H1" s="497"/>
      <c r="I1" s="497"/>
      <c r="J1" s="432"/>
      <c r="K1" s="432"/>
      <c r="L1" s="432"/>
      <c r="M1" s="432"/>
      <c r="N1" s="432"/>
      <c r="O1" s="432"/>
      <c r="P1" s="432"/>
      <c r="Q1" s="432"/>
      <c r="R1" s="432"/>
      <c r="S1" s="432"/>
      <c r="T1" s="432"/>
      <c r="U1" s="432"/>
      <c r="V1" s="432"/>
      <c r="W1" s="432"/>
      <c r="X1" s="432"/>
      <c r="Y1" s="432"/>
      <c r="Z1" s="432"/>
      <c r="AA1" s="432"/>
    </row>
    <row r="2" spans="1:27" ht="15" thickBot="1">
      <c r="A2" s="17"/>
      <c r="B2" s="4"/>
      <c r="C2" s="4"/>
      <c r="D2" s="225"/>
      <c r="E2" s="4"/>
      <c r="F2" s="4"/>
      <c r="G2" s="4"/>
      <c r="H2" s="4"/>
      <c r="I2" s="12"/>
    </row>
    <row r="3" spans="1:27" ht="21" customHeight="1">
      <c r="A3" s="18" t="s">
        <v>86</v>
      </c>
      <c r="B3" s="2"/>
      <c r="C3" s="23"/>
      <c r="D3" s="2"/>
      <c r="E3" s="2"/>
      <c r="F3" s="2"/>
      <c r="G3" s="2"/>
      <c r="H3" s="2"/>
      <c r="I3" s="5"/>
      <c r="K3" s="453" t="s">
        <v>0</v>
      </c>
      <c r="L3" s="454"/>
      <c r="M3" s="455" t="s">
        <v>387</v>
      </c>
      <c r="N3" s="456"/>
    </row>
    <row r="4" spans="1:27" ht="18" customHeight="1">
      <c r="A4" s="448" t="s">
        <v>29</v>
      </c>
      <c r="B4" s="449"/>
      <c r="C4" s="92"/>
      <c r="D4" s="92"/>
      <c r="E4" s="2"/>
      <c r="F4" s="2"/>
      <c r="G4" s="2"/>
      <c r="H4" s="2"/>
      <c r="I4" s="5"/>
      <c r="K4" s="465" t="s">
        <v>2</v>
      </c>
      <c r="L4" s="466"/>
      <c r="M4" s="376">
        <v>1</v>
      </c>
      <c r="N4" s="270" t="s">
        <v>61</v>
      </c>
    </row>
    <row r="5" spans="1:27" ht="14.4" customHeight="1">
      <c r="A5" s="11"/>
      <c r="B5" s="2"/>
      <c r="C5" s="10"/>
      <c r="D5" s="23"/>
      <c r="E5" s="2"/>
      <c r="F5" s="2"/>
      <c r="G5" s="2"/>
      <c r="H5" s="2"/>
      <c r="I5" s="5"/>
      <c r="K5" s="465" t="s">
        <v>3</v>
      </c>
      <c r="L5" s="466"/>
      <c r="M5" s="240">
        <v>2</v>
      </c>
      <c r="N5" s="241" t="s">
        <v>63</v>
      </c>
    </row>
    <row r="6" spans="1:27" ht="15.65" customHeight="1">
      <c r="A6" s="11" t="s">
        <v>392</v>
      </c>
      <c r="B6" s="2"/>
      <c r="C6" s="10"/>
      <c r="D6" s="23"/>
      <c r="E6" s="2"/>
      <c r="F6" s="2"/>
      <c r="G6" s="2"/>
      <c r="H6" s="2"/>
      <c r="I6" s="5"/>
      <c r="K6" s="465" t="s">
        <v>5</v>
      </c>
      <c r="L6" s="466"/>
      <c r="M6" s="242">
        <v>3</v>
      </c>
      <c r="N6" s="243" t="s">
        <v>65</v>
      </c>
    </row>
    <row r="7" spans="1:27" ht="14.4" customHeight="1">
      <c r="A7" s="11"/>
      <c r="B7" s="2"/>
      <c r="C7" s="2"/>
      <c r="D7" s="23"/>
      <c r="E7" s="2"/>
      <c r="F7" s="2"/>
      <c r="G7" s="2"/>
      <c r="H7" s="2"/>
      <c r="I7" s="5"/>
      <c r="K7" s="465" t="s">
        <v>7</v>
      </c>
      <c r="L7" s="466"/>
      <c r="M7" s="377">
        <v>4</v>
      </c>
      <c r="N7" s="274" t="s">
        <v>67</v>
      </c>
    </row>
    <row r="8" spans="1:27" ht="14.9" customHeight="1" thickBot="1">
      <c r="A8" s="11"/>
      <c r="B8" s="422" t="s">
        <v>4</v>
      </c>
      <c r="C8" s="422"/>
      <c r="D8" s="23">
        <f>'GeStruk-Ist'!AA16</f>
        <v>3.3031914893617023</v>
      </c>
      <c r="E8" s="2"/>
      <c r="F8" s="2" t="s">
        <v>82</v>
      </c>
      <c r="G8" s="2"/>
      <c r="H8" s="23">
        <f>AVERAGE(D8:D18)</f>
        <v>3.9459219858156032</v>
      </c>
      <c r="I8" s="5"/>
      <c r="K8" s="467" t="s">
        <v>9</v>
      </c>
      <c r="L8" s="468"/>
      <c r="M8" s="262">
        <v>5</v>
      </c>
      <c r="N8" s="263" t="s">
        <v>69</v>
      </c>
    </row>
    <row r="9" spans="1:27" ht="14.9" customHeight="1" thickBot="1">
      <c r="A9" s="11"/>
      <c r="B9" s="9"/>
      <c r="C9" s="9"/>
      <c r="D9" s="23"/>
      <c r="E9" s="2"/>
      <c r="F9" s="2"/>
      <c r="G9" s="2"/>
      <c r="H9" s="23"/>
      <c r="I9" s="5"/>
    </row>
    <row r="10" spans="1:27" ht="14.9" customHeight="1" thickBot="1">
      <c r="A10" s="11"/>
      <c r="B10" s="2" t="s">
        <v>6</v>
      </c>
      <c r="C10" s="2"/>
      <c r="D10" s="23">
        <f>'GeStruk-Ist'!AA33</f>
        <v>5.3723404255319149</v>
      </c>
      <c r="E10" s="2"/>
      <c r="F10" s="437" t="s">
        <v>390</v>
      </c>
      <c r="G10" s="437"/>
      <c r="H10" s="259" t="str">
        <f>VLOOKUP(H8,{0,"5";2.61,"4";3.51,"3";4.41,"2";5.31,"1"},2,1)</f>
        <v>3</v>
      </c>
      <c r="I10" s="5"/>
      <c r="K10" s="536" t="s">
        <v>218</v>
      </c>
      <c r="L10" s="537"/>
      <c r="M10" s="537"/>
      <c r="N10" s="537"/>
      <c r="O10" s="537"/>
      <c r="P10" s="538"/>
    </row>
    <row r="11" spans="1:27" ht="14.9" customHeight="1" thickBot="1">
      <c r="A11" s="11"/>
      <c r="B11" s="2"/>
      <c r="C11" s="2"/>
      <c r="D11" s="23"/>
      <c r="E11" s="2"/>
      <c r="F11" s="10"/>
      <c r="G11" s="10"/>
      <c r="H11" s="2"/>
      <c r="I11" s="5"/>
      <c r="K11" s="541" t="s">
        <v>114</v>
      </c>
      <c r="L11" s="542"/>
      <c r="M11" s="542"/>
      <c r="N11" s="543"/>
      <c r="O11" s="539" t="s">
        <v>387</v>
      </c>
      <c r="P11" s="540"/>
    </row>
    <row r="12" spans="1:27" ht="14.9" customHeight="1">
      <c r="A12" s="11"/>
      <c r="B12" s="2" t="s">
        <v>10</v>
      </c>
      <c r="C12" s="2"/>
      <c r="D12" s="23">
        <f>'GeStruk-Ist'!AA39</f>
        <v>4.1861702127659575</v>
      </c>
      <c r="E12" s="2"/>
      <c r="F12" s="226"/>
      <c r="G12" s="226"/>
      <c r="H12" s="2"/>
      <c r="I12" s="5"/>
      <c r="K12" s="544" t="s">
        <v>426</v>
      </c>
      <c r="L12" s="545"/>
      <c r="M12" s="545"/>
      <c r="N12" s="545"/>
      <c r="O12" s="548">
        <v>1</v>
      </c>
      <c r="P12" s="550" t="s">
        <v>61</v>
      </c>
    </row>
    <row r="13" spans="1:27" ht="14.9" customHeight="1">
      <c r="A13" s="11"/>
      <c r="B13" s="2"/>
      <c r="C13" s="2"/>
      <c r="D13" s="23"/>
      <c r="E13" s="2"/>
      <c r="F13" s="437" t="s">
        <v>391</v>
      </c>
      <c r="G13" s="437"/>
      <c r="H13" s="56">
        <v>3</v>
      </c>
      <c r="I13" s="5"/>
      <c r="K13" s="444"/>
      <c r="L13" s="546"/>
      <c r="M13" s="546"/>
      <c r="N13" s="546"/>
      <c r="O13" s="549"/>
      <c r="P13" s="458"/>
    </row>
    <row r="14" spans="1:27" ht="15.65" customHeight="1">
      <c r="A14" s="11"/>
      <c r="B14" s="2" t="s">
        <v>8</v>
      </c>
      <c r="C14" s="2"/>
      <c r="D14" s="23">
        <f>'GeStruk-Ist'!AA45</f>
        <v>3.5</v>
      </c>
      <c r="E14" s="2"/>
      <c r="F14" s="10"/>
      <c r="G14" s="10"/>
      <c r="I14" s="5"/>
      <c r="K14" s="444"/>
      <c r="L14" s="546"/>
      <c r="M14" s="546"/>
      <c r="N14" s="546"/>
      <c r="O14" s="549"/>
      <c r="P14" s="458"/>
    </row>
    <row r="15" spans="1:27" ht="14.9" customHeight="1">
      <c r="A15" s="11"/>
      <c r="B15" s="2"/>
      <c r="C15" s="2"/>
      <c r="D15" s="23"/>
      <c r="E15" s="2"/>
      <c r="F15" s="442" t="s">
        <v>337</v>
      </c>
      <c r="G15" s="442"/>
      <c r="H15" s="442"/>
      <c r="I15" s="288"/>
      <c r="K15" s="444"/>
      <c r="L15" s="546"/>
      <c r="M15" s="546"/>
      <c r="N15" s="546"/>
      <c r="O15" s="549"/>
      <c r="P15" s="458"/>
    </row>
    <row r="16" spans="1:27" ht="14.9" customHeight="1">
      <c r="A16" s="11"/>
      <c r="B16" s="2" t="s">
        <v>11</v>
      </c>
      <c r="C16" s="2"/>
      <c r="D16" s="23">
        <f>'GeStruk-Ist'!AA59</f>
        <v>3.4069148936170213</v>
      </c>
      <c r="E16" s="2"/>
      <c r="F16" s="2"/>
      <c r="G16" s="2"/>
      <c r="H16" s="2"/>
      <c r="I16" s="5"/>
      <c r="K16" s="444" t="s">
        <v>427</v>
      </c>
      <c r="L16" s="546"/>
      <c r="M16" s="546"/>
      <c r="N16" s="546"/>
      <c r="O16" s="551">
        <v>3</v>
      </c>
      <c r="P16" s="460" t="s">
        <v>65</v>
      </c>
    </row>
    <row r="17" spans="1:16" ht="16.399999999999999" customHeight="1">
      <c r="A17" s="11"/>
      <c r="B17" s="2"/>
      <c r="C17" s="2"/>
      <c r="D17" s="23"/>
      <c r="E17" s="2"/>
      <c r="F17" s="2"/>
      <c r="G17" s="2"/>
      <c r="H17" s="2"/>
      <c r="I17" s="5"/>
      <c r="K17" s="444"/>
      <c r="L17" s="546"/>
      <c r="M17" s="546"/>
      <c r="N17" s="546"/>
      <c r="O17" s="551"/>
      <c r="P17" s="460"/>
    </row>
    <row r="18" spans="1:16">
      <c r="A18" s="11"/>
      <c r="B18" s="2" t="s">
        <v>24</v>
      </c>
      <c r="C18" s="2"/>
      <c r="D18" s="23">
        <f>'GeStruk-Ist'!AA73</f>
        <v>3.9069148936170213</v>
      </c>
      <c r="E18" s="2"/>
      <c r="F18" s="2"/>
      <c r="G18" s="2"/>
      <c r="H18" s="2"/>
      <c r="I18" s="5"/>
      <c r="K18" s="444"/>
      <c r="L18" s="546"/>
      <c r="M18" s="546"/>
      <c r="N18" s="546"/>
      <c r="O18" s="551"/>
      <c r="P18" s="460"/>
    </row>
    <row r="19" spans="1:16">
      <c r="A19" s="11"/>
      <c r="B19" s="2"/>
      <c r="C19" s="2"/>
      <c r="D19" s="2"/>
      <c r="E19" s="2"/>
      <c r="F19" s="450" t="s">
        <v>317</v>
      </c>
      <c r="G19" s="450"/>
      <c r="I19" s="5"/>
      <c r="K19" s="444"/>
      <c r="L19" s="546"/>
      <c r="M19" s="546"/>
      <c r="N19" s="546"/>
      <c r="O19" s="551"/>
      <c r="P19" s="460"/>
    </row>
    <row r="20" spans="1:16" ht="14.4" customHeight="1">
      <c r="A20" s="11"/>
      <c r="B20" s="2"/>
      <c r="C20" s="2"/>
      <c r="D20" s="2"/>
      <c r="E20" s="2"/>
      <c r="F20" s="450"/>
      <c r="G20" s="450"/>
      <c r="H20" s="231">
        <f>ROUND(((H10+H13)/2),0)</f>
        <v>3</v>
      </c>
      <c r="I20" s="5"/>
      <c r="K20" s="444" t="s">
        <v>428</v>
      </c>
      <c r="L20" s="546"/>
      <c r="M20" s="546"/>
      <c r="N20" s="546"/>
      <c r="O20" s="552">
        <v>5</v>
      </c>
      <c r="P20" s="463" t="s">
        <v>69</v>
      </c>
    </row>
    <row r="21" spans="1:16">
      <c r="A21" s="14"/>
      <c r="B21" s="3"/>
      <c r="C21" s="3"/>
      <c r="D21" s="232"/>
      <c r="E21" s="3"/>
      <c r="F21" s="233"/>
      <c r="G21" s="233"/>
      <c r="H21" s="3"/>
      <c r="I21" s="7"/>
      <c r="K21" s="444"/>
      <c r="L21" s="546"/>
      <c r="M21" s="546"/>
      <c r="N21" s="546"/>
      <c r="O21" s="552"/>
      <c r="P21" s="463"/>
    </row>
    <row r="22" spans="1:16">
      <c r="A22" s="17"/>
      <c r="B22" s="4"/>
      <c r="C22" s="4"/>
      <c r="D22" s="225"/>
      <c r="E22" s="4"/>
      <c r="F22" s="4"/>
      <c r="G22" s="4"/>
      <c r="H22" s="4"/>
      <c r="I22" s="12"/>
      <c r="K22" s="444"/>
      <c r="L22" s="546"/>
      <c r="M22" s="546"/>
      <c r="N22" s="546"/>
      <c r="O22" s="552"/>
      <c r="P22" s="463"/>
    </row>
    <row r="23" spans="1:16" ht="21" customHeight="1" thickBot="1">
      <c r="A23" s="18" t="s">
        <v>86</v>
      </c>
      <c r="B23" s="2"/>
      <c r="C23" s="23"/>
      <c r="D23" s="2"/>
      <c r="E23" s="2"/>
      <c r="F23" s="2"/>
      <c r="G23" s="2"/>
      <c r="H23" s="2"/>
      <c r="I23" s="5"/>
      <c r="K23" s="446"/>
      <c r="L23" s="547"/>
      <c r="M23" s="547"/>
      <c r="N23" s="547"/>
      <c r="O23" s="553"/>
      <c r="P23" s="480"/>
    </row>
    <row r="24" spans="1:16" ht="19" thickBot="1">
      <c r="A24" s="448" t="s">
        <v>88</v>
      </c>
      <c r="B24" s="449"/>
      <c r="C24" s="92"/>
      <c r="D24" s="92"/>
      <c r="E24" s="2"/>
      <c r="F24" s="2"/>
      <c r="G24" s="2"/>
      <c r="H24" s="2"/>
      <c r="I24" s="5"/>
    </row>
    <row r="25" spans="1:16" ht="14.4" customHeight="1">
      <c r="A25" s="11"/>
      <c r="B25" s="2"/>
      <c r="C25" s="10"/>
      <c r="D25" s="23"/>
      <c r="E25" s="2"/>
      <c r="F25" s="2"/>
      <c r="G25" s="2"/>
      <c r="H25" s="2"/>
      <c r="I25" s="5"/>
      <c r="K25" s="527" t="s">
        <v>425</v>
      </c>
      <c r="L25" s="528"/>
      <c r="M25" s="528"/>
      <c r="N25" s="528"/>
      <c r="O25" s="528"/>
      <c r="P25" s="529"/>
    </row>
    <row r="26" spans="1:16" ht="16.5">
      <c r="A26" s="11" t="s">
        <v>389</v>
      </c>
      <c r="B26" s="2"/>
      <c r="C26" s="10"/>
      <c r="D26" s="23"/>
      <c r="E26" s="2"/>
      <c r="F26" s="2"/>
      <c r="G26" s="2"/>
      <c r="H26" s="2"/>
      <c r="I26" s="5"/>
      <c r="K26" s="530"/>
      <c r="L26" s="531"/>
      <c r="M26" s="531"/>
      <c r="N26" s="531"/>
      <c r="O26" s="531"/>
      <c r="P26" s="532"/>
    </row>
    <row r="27" spans="1:16">
      <c r="A27" s="11"/>
      <c r="B27" s="2"/>
      <c r="C27" s="2"/>
      <c r="D27" s="23"/>
      <c r="E27" s="2"/>
      <c r="F27" s="2"/>
      <c r="G27" s="2"/>
      <c r="H27" s="2"/>
      <c r="I27" s="5"/>
      <c r="K27" s="530"/>
      <c r="L27" s="531"/>
      <c r="M27" s="531"/>
      <c r="N27" s="531"/>
      <c r="O27" s="531"/>
      <c r="P27" s="532"/>
    </row>
    <row r="28" spans="1:16" ht="14.9" customHeight="1">
      <c r="A28" s="11"/>
      <c r="B28" s="422" t="s">
        <v>4</v>
      </c>
      <c r="C28" s="422"/>
      <c r="D28" s="23">
        <f>'GeStruk-Ziel'!Q15</f>
        <v>4.5</v>
      </c>
      <c r="E28" s="2"/>
      <c r="F28" s="2" t="s">
        <v>82</v>
      </c>
      <c r="G28" s="2"/>
      <c r="H28" s="23">
        <f>AVERAGE(D28:D38)</f>
        <v>3.1666666666666665</v>
      </c>
      <c r="I28" s="5"/>
      <c r="K28" s="530"/>
      <c r="L28" s="531"/>
      <c r="M28" s="531"/>
      <c r="N28" s="531"/>
      <c r="O28" s="531"/>
      <c r="P28" s="532"/>
    </row>
    <row r="29" spans="1:16">
      <c r="A29" s="11"/>
      <c r="B29" s="9"/>
      <c r="C29" s="9"/>
      <c r="D29" s="23"/>
      <c r="E29" s="2"/>
      <c r="F29" s="2"/>
      <c r="G29" s="2"/>
      <c r="H29" s="23"/>
      <c r="I29" s="5"/>
      <c r="K29" s="530"/>
      <c r="L29" s="531"/>
      <c r="M29" s="531"/>
      <c r="N29" s="531"/>
      <c r="O29" s="531"/>
      <c r="P29" s="532"/>
    </row>
    <row r="30" spans="1:16" ht="14.9" customHeight="1">
      <c r="A30" s="11"/>
      <c r="B30" s="2" t="s">
        <v>6</v>
      </c>
      <c r="C30" s="2"/>
      <c r="D30" s="23">
        <f>'GeStruk-Ziel'!Q32</f>
        <v>4.5</v>
      </c>
      <c r="E30" s="2"/>
      <c r="F30" s="437" t="s">
        <v>390</v>
      </c>
      <c r="G30" s="437"/>
      <c r="H30" s="259" t="str">
        <f>VLOOKUP(H28,{0,"5";2.61,"4";3.51,"3";4.41,"2";5.31,"1"},2,1)</f>
        <v>4</v>
      </c>
      <c r="I30" s="5"/>
      <c r="K30" s="530"/>
      <c r="L30" s="531"/>
      <c r="M30" s="531"/>
      <c r="N30" s="531"/>
      <c r="O30" s="531"/>
      <c r="P30" s="532"/>
    </row>
    <row r="31" spans="1:16" ht="15" thickBot="1">
      <c r="A31" s="11"/>
      <c r="B31" s="2"/>
      <c r="C31" s="2"/>
      <c r="D31" s="23"/>
      <c r="E31" s="2"/>
      <c r="F31" s="10"/>
      <c r="G31" s="10"/>
      <c r="H31" s="2"/>
      <c r="I31" s="5"/>
      <c r="K31" s="533"/>
      <c r="L31" s="534"/>
      <c r="M31" s="534"/>
      <c r="N31" s="534"/>
      <c r="O31" s="534"/>
      <c r="P31" s="535"/>
    </row>
    <row r="32" spans="1:16">
      <c r="A32" s="11"/>
      <c r="B32" s="2" t="s">
        <v>10</v>
      </c>
      <c r="C32" s="2"/>
      <c r="D32" s="23">
        <f>'GeStruk-Ziel'!Q38</f>
        <v>2</v>
      </c>
      <c r="E32" s="2"/>
      <c r="F32" s="2"/>
      <c r="G32" s="2"/>
      <c r="H32" s="2"/>
      <c r="I32" s="5"/>
    </row>
    <row r="33" spans="1:9" ht="14.9" customHeight="1">
      <c r="A33" s="11"/>
      <c r="B33" s="2"/>
      <c r="C33" s="2"/>
      <c r="D33" s="23"/>
      <c r="E33" s="2"/>
      <c r="F33" s="437" t="s">
        <v>393</v>
      </c>
      <c r="G33" s="437"/>
      <c r="H33" s="56">
        <v>3</v>
      </c>
      <c r="I33" s="5"/>
    </row>
    <row r="34" spans="1:9">
      <c r="A34" s="11"/>
      <c r="B34" s="2" t="s">
        <v>8</v>
      </c>
      <c r="C34" s="2"/>
      <c r="D34" s="23">
        <f>'GeStruk-Ziel'!Q44</f>
        <v>2.5</v>
      </c>
      <c r="E34" s="2"/>
      <c r="F34" s="437"/>
      <c r="G34" s="437"/>
      <c r="I34" s="5"/>
    </row>
    <row r="35" spans="1:9" ht="24.65" customHeight="1">
      <c r="A35" s="11"/>
      <c r="B35" s="2"/>
      <c r="C35" s="2"/>
      <c r="D35" s="23"/>
      <c r="E35" s="2"/>
      <c r="F35" s="226"/>
      <c r="G35" s="226"/>
      <c r="H35" s="2"/>
      <c r="I35" s="5"/>
    </row>
    <row r="36" spans="1:9" ht="15" customHeight="1">
      <c r="A36" s="11"/>
      <c r="B36" s="2" t="s">
        <v>11</v>
      </c>
      <c r="C36" s="2"/>
      <c r="D36" s="23">
        <f>'GeStruk-Ziel'!Q58</f>
        <v>2.5</v>
      </c>
      <c r="E36" s="2"/>
      <c r="F36" s="442" t="s">
        <v>376</v>
      </c>
      <c r="G36" s="442"/>
      <c r="H36" s="442"/>
      <c r="I36" s="288"/>
    </row>
    <row r="37" spans="1:9" ht="16.5" customHeight="1">
      <c r="A37" s="11"/>
      <c r="B37" s="2"/>
      <c r="C37" s="2"/>
      <c r="D37" s="23"/>
      <c r="E37" s="2"/>
      <c r="F37" s="442"/>
      <c r="G37" s="442"/>
      <c r="H37" s="442"/>
      <c r="I37" s="5"/>
    </row>
    <row r="38" spans="1:9">
      <c r="A38" s="11"/>
      <c r="B38" s="2" t="s">
        <v>24</v>
      </c>
      <c r="C38" s="2"/>
      <c r="D38" s="23">
        <f>'GeStruk-Ziel'!Q72</f>
        <v>3</v>
      </c>
      <c r="E38" s="2"/>
      <c r="F38" s="442"/>
      <c r="G38" s="442"/>
      <c r="H38" s="442"/>
      <c r="I38" s="5"/>
    </row>
    <row r="39" spans="1:9">
      <c r="A39" s="11"/>
      <c r="B39" s="2"/>
      <c r="C39" s="2"/>
      <c r="D39" s="23"/>
      <c r="E39" s="2"/>
      <c r="F39" s="2"/>
      <c r="G39" s="2"/>
      <c r="H39" s="2"/>
      <c r="I39" s="5"/>
    </row>
    <row r="40" spans="1:9" ht="16.5">
      <c r="A40" s="11"/>
      <c r="B40" s="2"/>
      <c r="C40" s="2"/>
      <c r="D40" s="23"/>
      <c r="E40" s="2"/>
      <c r="F40" s="2" t="s">
        <v>394</v>
      </c>
      <c r="G40" s="2"/>
      <c r="H40" s="387" t="s">
        <v>233</v>
      </c>
      <c r="I40" s="5"/>
    </row>
    <row r="41" spans="1:9">
      <c r="A41" s="11"/>
      <c r="B41" s="2"/>
      <c r="C41" s="2"/>
      <c r="D41" s="23"/>
      <c r="E41" s="2"/>
      <c r="F41" s="2"/>
      <c r="G41" s="2"/>
      <c r="H41" s="2"/>
      <c r="I41" s="5"/>
    </row>
    <row r="42" spans="1:9" ht="14.4" customHeight="1">
      <c r="A42" s="11"/>
      <c r="B42" s="2"/>
      <c r="C42" s="2"/>
      <c r="D42" s="23"/>
      <c r="E42" s="2"/>
      <c r="F42" s="442" t="s">
        <v>377</v>
      </c>
      <c r="G42" s="442"/>
      <c r="H42" s="442"/>
      <c r="I42" s="5"/>
    </row>
    <row r="43" spans="1:9">
      <c r="A43" s="11"/>
      <c r="B43" s="2"/>
      <c r="C43" s="2"/>
      <c r="D43" s="23"/>
      <c r="E43" s="2"/>
      <c r="F43" s="442"/>
      <c r="G43" s="442"/>
      <c r="H43" s="442"/>
      <c r="I43" s="5"/>
    </row>
    <row r="44" spans="1:9">
      <c r="A44" s="11"/>
      <c r="B44" s="2"/>
      <c r="C44" s="2"/>
      <c r="D44" s="23"/>
      <c r="E44" s="2"/>
      <c r="F44" s="2"/>
      <c r="G44" s="2"/>
      <c r="H44" s="2"/>
      <c r="I44" s="5"/>
    </row>
    <row r="45" spans="1:9" ht="14.9" customHeight="1">
      <c r="A45" s="11"/>
      <c r="B45" s="2"/>
      <c r="C45" s="2"/>
      <c r="D45" s="2"/>
      <c r="E45" s="2"/>
      <c r="F45" s="450" t="s">
        <v>317</v>
      </c>
      <c r="G45" s="450"/>
      <c r="I45" s="5"/>
    </row>
    <row r="46" spans="1:9">
      <c r="A46" s="11"/>
      <c r="B46" s="2"/>
      <c r="C46" s="2"/>
      <c r="D46" s="23"/>
      <c r="E46" s="2"/>
      <c r="F46" s="450"/>
      <c r="G46" s="450"/>
      <c r="H46" s="231">
        <f>IF(H33=5,ROUND((H30+H33)/2,0),IF(H40="Ja",ROUND((MIN(H33+2,5)+H30)/2,0),ROUND((H30+H33)/2,0)))</f>
        <v>4</v>
      </c>
      <c r="I46" s="5"/>
    </row>
    <row r="47" spans="1:9">
      <c r="A47" s="14"/>
      <c r="B47" s="3"/>
      <c r="C47" s="3"/>
      <c r="D47" s="232"/>
      <c r="E47" s="3"/>
      <c r="F47" s="233"/>
      <c r="G47" s="233"/>
      <c r="H47" s="3"/>
      <c r="I47" s="7"/>
    </row>
  </sheetData>
  <sheetProtection algorithmName="SHA-512" hashValue="AEF4gS0YMlYOI3BDUSRQ0J4GwDxgCDIqcrOy1cJFy4FpoeGxxxaYaKxfIDGObs7wqkx5cOf1OdwG+NpfGgDaEQ==" saltValue="leuLxVk+Qdv+5O48JXqNrQ==" spinCount="100000" sheet="1" objects="1" scenarios="1"/>
  <customSheetViews>
    <customSheetView guid="{B75063BA-4717-43F8-8B16-CDCBE07E925A}" showPageBreaks="1" topLeftCell="A7">
      <selection activeCell="K36" sqref="K36"/>
    </customSheetView>
  </customSheetViews>
  <mergeCells count="34">
    <mergeCell ref="P20:P23"/>
    <mergeCell ref="K12:N15"/>
    <mergeCell ref="F45:G46"/>
    <mergeCell ref="A24:B24"/>
    <mergeCell ref="B28:C28"/>
    <mergeCell ref="F30:G30"/>
    <mergeCell ref="K16:N19"/>
    <mergeCell ref="K20:N23"/>
    <mergeCell ref="O12:O15"/>
    <mergeCell ref="P12:P15"/>
    <mergeCell ref="O16:O19"/>
    <mergeCell ref="P16:P19"/>
    <mergeCell ref="O20:O23"/>
    <mergeCell ref="K7:L7"/>
    <mergeCell ref="K8:L8"/>
    <mergeCell ref="K10:P10"/>
    <mergeCell ref="O11:P11"/>
    <mergeCell ref="K11:N11"/>
    <mergeCell ref="A1:AA1"/>
    <mergeCell ref="F36:H38"/>
    <mergeCell ref="F42:H43"/>
    <mergeCell ref="F33:G34"/>
    <mergeCell ref="F13:G13"/>
    <mergeCell ref="F15:H15"/>
    <mergeCell ref="A4:B4"/>
    <mergeCell ref="F19:G20"/>
    <mergeCell ref="B8:C8"/>
    <mergeCell ref="K25:P31"/>
    <mergeCell ref="F10:G10"/>
    <mergeCell ref="K3:L3"/>
    <mergeCell ref="M3:N3"/>
    <mergeCell ref="K4:L4"/>
    <mergeCell ref="K5:L5"/>
    <mergeCell ref="K6:L6"/>
  </mergeCells>
  <pageMargins left="0.70866141732283472" right="0.70866141732283472" top="0.78740157480314965" bottom="0.78740157480314965" header="0.31496062992125984" footer="0.31496062992125984"/>
  <pageSetup paperSize="9" scale="65" orientation="landscape" horizontalDpi="200" verticalDpi="200" r:id="rId1"/>
  <headerFooter>
    <oddHeader>&amp;L&amp;D&amp;C&amp;A&amp;R&amp;P/&amp;N</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760DEB5-179E-4FD0-BC77-5DB368374BD0}">
          <x14:formula1>
            <xm:f>key!$B$25:$B$26</xm:f>
          </x14:formula1>
          <xm:sqref>H40</xm:sqref>
        </x14:dataValidation>
        <x14:dataValidation type="list" allowBlank="1" showInputMessage="1" showErrorMessage="1" xr:uid="{B14DA9F5-7A80-4842-8AFC-32CBA7ED7D9B}">
          <x14:formula1>
            <xm:f>key!$B$33:$B$35</xm:f>
          </x14:formula1>
          <xm:sqref>H13 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7F178-68DE-4506-BA0F-C871DF5931AF}">
  <sheetPr>
    <pageSetUpPr autoPageBreaks="0" fitToPage="1"/>
  </sheetPr>
  <dimension ref="A1:AA53"/>
  <sheetViews>
    <sheetView zoomScaleNormal="100" workbookViewId="0">
      <selection activeCell="K28" sqref="K28:M28"/>
    </sheetView>
  </sheetViews>
  <sheetFormatPr baseColWidth="10" defaultRowHeight="14.5"/>
  <cols>
    <col min="1" max="1" width="8.54296875" style="31" customWidth="1"/>
    <col min="3" max="3" width="15.453125" customWidth="1"/>
    <col min="4" max="4" width="11.54296875" style="161" customWidth="1"/>
    <col min="5" max="5" width="8.453125" customWidth="1"/>
    <col min="6" max="6" width="15.54296875" customWidth="1"/>
    <col min="7" max="7" width="14.54296875" customWidth="1"/>
    <col min="8" max="8" width="10.54296875" customWidth="1"/>
    <col min="9" max="9" width="3.54296875" customWidth="1"/>
    <col min="10" max="10" width="4.54296875" customWidth="1"/>
    <col min="12" max="12" width="13" customWidth="1"/>
    <col min="13" max="13" width="6.54296875" customWidth="1"/>
    <col min="14" max="14" width="15.08984375" customWidth="1"/>
    <col min="15" max="15" width="14.453125" customWidth="1"/>
    <col min="16" max="16" width="13.54296875" customWidth="1"/>
    <col min="17" max="17" width="12" customWidth="1"/>
    <col min="18" max="18" width="19.453125" customWidth="1"/>
    <col min="19" max="19" width="18.54296875" customWidth="1"/>
  </cols>
  <sheetData>
    <row r="1" spans="1:27" ht="17.899999999999999" customHeight="1">
      <c r="A1" s="497" t="str">
        <f>IF(Stammdaten!C5&lt;&gt;"", Stammdaten!C5,"")</f>
        <v>Revitalisierung am Gewässer XY</v>
      </c>
      <c r="B1" s="497"/>
      <c r="C1" s="497"/>
      <c r="D1" s="497"/>
      <c r="E1" s="497"/>
      <c r="F1" s="497"/>
      <c r="G1" s="497"/>
      <c r="H1" s="497"/>
      <c r="I1" s="497"/>
      <c r="J1" s="432"/>
      <c r="K1" s="432"/>
      <c r="L1" s="432"/>
      <c r="M1" s="432"/>
      <c r="N1" s="432"/>
      <c r="O1" s="432"/>
      <c r="P1" s="432"/>
      <c r="Q1" s="432"/>
      <c r="R1" s="432"/>
      <c r="S1" s="432"/>
      <c r="T1" s="432"/>
      <c r="U1" s="432"/>
      <c r="V1" s="432"/>
      <c r="W1" s="432"/>
      <c r="X1" s="432"/>
      <c r="Y1" s="432"/>
      <c r="Z1" s="432"/>
      <c r="AA1" s="432"/>
    </row>
    <row r="2" spans="1:27" ht="29.15" customHeight="1">
      <c r="A2" s="17"/>
      <c r="B2" s="4"/>
      <c r="C2" s="4"/>
      <c r="D2" s="225"/>
      <c r="E2" s="4"/>
      <c r="F2" s="4"/>
      <c r="G2" s="4"/>
      <c r="H2" s="4"/>
      <c r="I2" s="12"/>
      <c r="K2" s="331"/>
      <c r="L2" s="332"/>
      <c r="M2" s="332"/>
      <c r="N2" s="337" t="s">
        <v>372</v>
      </c>
      <c r="O2" s="337" t="s">
        <v>354</v>
      </c>
      <c r="P2" s="332" t="s">
        <v>355</v>
      </c>
      <c r="Q2" s="337" t="s">
        <v>23</v>
      </c>
    </row>
    <row r="3" spans="1:27" ht="21">
      <c r="A3" s="18" t="s">
        <v>87</v>
      </c>
      <c r="B3" s="2"/>
      <c r="C3" s="23"/>
      <c r="D3" s="2"/>
      <c r="E3" s="2"/>
      <c r="F3" s="2"/>
      <c r="G3" s="2"/>
      <c r="H3" s="2"/>
      <c r="I3" s="5"/>
      <c r="K3" s="335"/>
      <c r="L3" s="336"/>
      <c r="M3" s="336"/>
      <c r="N3" s="355"/>
      <c r="O3" s="355"/>
      <c r="P3" s="336"/>
      <c r="Q3" s="355"/>
    </row>
    <row r="4" spans="1:27" ht="18" customHeight="1">
      <c r="A4" s="448" t="s">
        <v>29</v>
      </c>
      <c r="B4" s="449"/>
      <c r="C4" s="92"/>
      <c r="D4" s="92"/>
      <c r="E4" s="2"/>
      <c r="F4" s="2"/>
      <c r="G4" s="2"/>
      <c r="H4" s="2"/>
      <c r="I4" s="5"/>
      <c r="K4" s="575" t="s">
        <v>370</v>
      </c>
      <c r="L4" s="576"/>
      <c r="M4" s="577"/>
      <c r="N4" s="334">
        <f>SUM('GeStruk-Ist'!E9,'GeStruk-Ist'!G9,'GeStruk-Ist'!I9,'GeStruk-Ist'!K9,'GeStruk-Ist'!M9,'GeStruk-Ist'!O9,'GeStruk-Ist'!Q9,'GeStruk-Ist'!S9,'GeStruk-Ist'!U9,'GeStruk-Ist'!W9)</f>
        <v>470</v>
      </c>
      <c r="O4" s="338"/>
      <c r="P4" s="338"/>
      <c r="Q4" s="338">
        <f>'GeStruk-Ist'!AA57</f>
        <v>3.5</v>
      </c>
    </row>
    <row r="5" spans="1:27">
      <c r="A5" s="11"/>
      <c r="B5" s="2"/>
      <c r="C5" s="10"/>
      <c r="D5" s="23"/>
      <c r="E5" s="2"/>
      <c r="F5" s="2"/>
      <c r="G5" s="2"/>
      <c r="H5" s="2"/>
      <c r="I5" s="5"/>
      <c r="K5" s="556" t="s">
        <v>371</v>
      </c>
      <c r="L5" s="557"/>
      <c r="M5" s="558"/>
      <c r="N5" s="334">
        <f>SUM('GeStruk-Ziel'!E8,'GeStruk-Ziel'!G8,'GeStruk-Ziel'!I8,'GeStruk-Ziel'!K8,'GeStruk-Ziel'!M8)</f>
        <v>470</v>
      </c>
      <c r="O5" s="338"/>
      <c r="P5" s="338"/>
      <c r="Q5" s="338">
        <f>'GeStruk-Ziel'!Q56</f>
        <v>2</v>
      </c>
    </row>
    <row r="6" spans="1:27" ht="17" thickBot="1">
      <c r="A6" s="11" t="s">
        <v>401</v>
      </c>
      <c r="B6" s="2"/>
      <c r="C6" s="10"/>
      <c r="D6" s="23">
        <f>'GeStruk-Ist'!AA45</f>
        <v>3.5</v>
      </c>
      <c r="E6" s="2"/>
      <c r="F6" s="2" t="s">
        <v>403</v>
      </c>
      <c r="G6" s="2"/>
      <c r="H6" s="260" t="str">
        <f>VLOOKUP(D6,{0,"5";2.61,"4";3.51,"3";4.41,"2";5.31,"1"},2,1)</f>
        <v>4</v>
      </c>
      <c r="I6" s="5"/>
      <c r="K6" s="556" t="s">
        <v>360</v>
      </c>
      <c r="L6" s="557"/>
      <c r="M6" s="558"/>
      <c r="N6" s="388">
        <v>300</v>
      </c>
      <c r="O6" s="389">
        <v>5</v>
      </c>
      <c r="P6" s="390">
        <v>6</v>
      </c>
      <c r="Q6" s="338">
        <f>IF(ISNUMBER(O6),(O6+P6)/2,"")</f>
        <v>5.5</v>
      </c>
    </row>
    <row r="7" spans="1:27" ht="15.5" thickTop="1" thickBot="1">
      <c r="A7" s="11"/>
      <c r="B7" s="2"/>
      <c r="C7" s="2"/>
      <c r="D7" s="23"/>
      <c r="E7" s="2"/>
      <c r="F7" s="2"/>
      <c r="G7" s="2"/>
      <c r="I7" s="5"/>
      <c r="K7" s="556" t="s">
        <v>361</v>
      </c>
      <c r="L7" s="557"/>
      <c r="M7" s="558"/>
      <c r="N7" s="391">
        <v>230</v>
      </c>
      <c r="O7" s="392">
        <v>6</v>
      </c>
      <c r="P7" s="392">
        <v>6</v>
      </c>
      <c r="Q7" s="338">
        <f t="shared" ref="Q7:Q15" si="0">IF(ISNUMBER(O7),(O7+P7)/2,"")</f>
        <v>6</v>
      </c>
    </row>
    <row r="8" spans="1:27" ht="14.9" customHeight="1" thickTop="1" thickBot="1">
      <c r="A8" s="11" t="s">
        <v>402</v>
      </c>
      <c r="B8" s="235"/>
      <c r="C8" s="235"/>
      <c r="D8" s="23"/>
      <c r="E8" s="2"/>
      <c r="F8" s="2"/>
      <c r="G8" s="2"/>
      <c r="H8" s="2"/>
      <c r="I8" s="5"/>
      <c r="K8" s="556" t="s">
        <v>362</v>
      </c>
      <c r="L8" s="557"/>
      <c r="M8" s="558"/>
      <c r="N8" s="391"/>
      <c r="O8" s="389"/>
      <c r="P8" s="392"/>
      <c r="Q8" s="338" t="str">
        <f t="shared" si="0"/>
        <v/>
      </c>
    </row>
    <row r="9" spans="1:27" ht="15.5" thickTop="1" thickBot="1">
      <c r="A9" s="11"/>
      <c r="B9" s="235"/>
      <c r="C9" s="235"/>
      <c r="D9" s="23"/>
      <c r="E9" s="2"/>
      <c r="F9" s="2"/>
      <c r="G9" s="2"/>
      <c r="H9" s="2"/>
      <c r="I9" s="5"/>
      <c r="K9" s="556" t="s">
        <v>363</v>
      </c>
      <c r="L9" s="557"/>
      <c r="M9" s="558"/>
      <c r="N9" s="393"/>
      <c r="O9" s="392"/>
      <c r="P9" s="392"/>
      <c r="Q9" s="338" t="str">
        <f t="shared" si="0"/>
        <v/>
      </c>
    </row>
    <row r="10" spans="1:27" ht="14.9" customHeight="1" thickTop="1" thickBot="1">
      <c r="A10" s="11"/>
      <c r="B10" s="2" t="s">
        <v>23</v>
      </c>
      <c r="C10" s="2"/>
      <c r="D10" s="328">
        <f>IF(ISNUMBER(Q18),((Q18*N16+Q4*N4)/(N4+N16)),Q4)</f>
        <v>4.6749999999999998</v>
      </c>
      <c r="E10" s="2"/>
      <c r="F10" s="437" t="s">
        <v>404</v>
      </c>
      <c r="G10" s="437"/>
      <c r="H10" s="260" t="str">
        <f>IF(ISNUMBER(D10),VLOOKUP(D10,{0,"5";2.61,"4";3.51,"3";4.41,"2";5.31,"1"},2,1),"")</f>
        <v>2</v>
      </c>
      <c r="I10" s="5"/>
      <c r="K10" s="556" t="s">
        <v>364</v>
      </c>
      <c r="L10" s="557"/>
      <c r="M10" s="558"/>
      <c r="N10" s="394"/>
      <c r="O10" s="392"/>
      <c r="P10" s="392"/>
      <c r="Q10" s="338" t="str">
        <f t="shared" si="0"/>
        <v/>
      </c>
    </row>
    <row r="11" spans="1:27" ht="14.9" customHeight="1" thickTop="1" thickBot="1">
      <c r="A11" s="11"/>
      <c r="B11" s="2"/>
      <c r="C11" s="2"/>
      <c r="D11" s="101"/>
      <c r="E11" s="2"/>
      <c r="F11" s="437"/>
      <c r="G11" s="437"/>
      <c r="H11" s="260"/>
      <c r="I11" s="5"/>
      <c r="K11" s="556" t="s">
        <v>365</v>
      </c>
      <c r="L11" s="557"/>
      <c r="M11" s="558"/>
      <c r="N11" s="394"/>
      <c r="O11" s="392"/>
      <c r="P11" s="392"/>
      <c r="Q11" s="338" t="str">
        <f t="shared" si="0"/>
        <v/>
      </c>
    </row>
    <row r="12" spans="1:27" ht="14.9" customHeight="1" thickTop="1" thickBot="1">
      <c r="A12" s="11"/>
      <c r="B12" s="442" t="s">
        <v>408</v>
      </c>
      <c r="C12" s="442"/>
      <c r="D12" s="442"/>
      <c r="E12" s="442"/>
      <c r="F12" s="442"/>
      <c r="G12" s="442"/>
      <c r="H12" s="260"/>
      <c r="I12" s="5"/>
      <c r="K12" s="556" t="s">
        <v>366</v>
      </c>
      <c r="L12" s="557"/>
      <c r="M12" s="558"/>
      <c r="N12" s="394"/>
      <c r="O12" s="392"/>
      <c r="P12" s="389"/>
      <c r="Q12" s="338" t="str">
        <f t="shared" si="0"/>
        <v/>
      </c>
    </row>
    <row r="13" spans="1:27" ht="17.25" customHeight="1" thickTop="1" thickBot="1">
      <c r="A13" s="11"/>
      <c r="B13" s="442"/>
      <c r="C13" s="442"/>
      <c r="D13" s="442"/>
      <c r="E13" s="442"/>
      <c r="F13" s="442"/>
      <c r="G13" s="442"/>
      <c r="H13" s="260"/>
      <c r="I13" s="5"/>
      <c r="K13" s="556" t="s">
        <v>367</v>
      </c>
      <c r="L13" s="557"/>
      <c r="M13" s="558"/>
      <c r="N13" s="394"/>
      <c r="O13" s="390"/>
      <c r="P13" s="392"/>
      <c r="Q13" s="338" t="str">
        <f t="shared" si="0"/>
        <v/>
      </c>
    </row>
    <row r="14" spans="1:27" ht="18" customHeight="1" thickTop="1" thickBot="1">
      <c r="A14" s="11"/>
      <c r="B14" s="442"/>
      <c r="C14" s="442"/>
      <c r="D14" s="442"/>
      <c r="E14" s="442"/>
      <c r="F14" s="442"/>
      <c r="G14" s="442"/>
      <c r="H14" s="261">
        <f>Stammdaten!L27*100</f>
        <v>1000</v>
      </c>
      <c r="I14" s="5"/>
      <c r="K14" s="556" t="s">
        <v>368</v>
      </c>
      <c r="L14" s="557"/>
      <c r="M14" s="558"/>
      <c r="N14" s="391"/>
      <c r="O14" s="390"/>
      <c r="P14" s="389"/>
      <c r="Q14" s="338" t="str">
        <f t="shared" si="0"/>
        <v/>
      </c>
    </row>
    <row r="15" spans="1:27" ht="14.9" customHeight="1" thickTop="1">
      <c r="A15" s="11"/>
      <c r="B15" s="15"/>
      <c r="C15" s="15"/>
      <c r="D15" s="15"/>
      <c r="E15" s="15"/>
      <c r="F15" s="15"/>
      <c r="G15" s="15"/>
      <c r="H15" s="2"/>
      <c r="I15" s="5"/>
      <c r="K15" s="556" t="s">
        <v>369</v>
      </c>
      <c r="L15" s="557"/>
      <c r="M15" s="558"/>
      <c r="N15" s="393"/>
      <c r="O15" s="389"/>
      <c r="P15" s="395"/>
      <c r="Q15" s="338" t="str">
        <f t="shared" si="0"/>
        <v/>
      </c>
    </row>
    <row r="16" spans="1:27" ht="14.9" customHeight="1">
      <c r="A16" s="11"/>
      <c r="B16" s="245"/>
      <c r="C16" s="245"/>
      <c r="D16" s="245"/>
      <c r="E16" s="245"/>
      <c r="F16" s="10"/>
      <c r="G16" s="10"/>
      <c r="H16" s="2"/>
      <c r="I16" s="5"/>
      <c r="K16" s="578" t="s">
        <v>440</v>
      </c>
      <c r="L16" s="579"/>
      <c r="M16" s="579"/>
      <c r="N16" s="381">
        <f>SUM(N6:N15)</f>
        <v>530</v>
      </c>
      <c r="O16" s="381"/>
      <c r="P16" s="381"/>
      <c r="Q16" s="334"/>
    </row>
    <row r="17" spans="1:18" ht="14.9" customHeight="1">
      <c r="A17" s="11" t="s">
        <v>406</v>
      </c>
      <c r="B17" s="2"/>
      <c r="C17" s="2"/>
      <c r="D17" s="23"/>
      <c r="E17" s="2"/>
      <c r="F17" s="2" t="s">
        <v>405</v>
      </c>
      <c r="G17" s="2"/>
      <c r="H17" s="56">
        <v>1</v>
      </c>
      <c r="I17" s="6"/>
      <c r="K17" s="580"/>
      <c r="L17" s="581"/>
      <c r="M17" s="581"/>
      <c r="N17" s="358"/>
      <c r="O17" s="358"/>
      <c r="P17" s="358"/>
      <c r="Q17" s="338" t="str">
        <f t="shared" ref="Q17" si="1">IF(ISNUMBER(O17),(O17+P17)/2,"")</f>
        <v/>
      </c>
    </row>
    <row r="18" spans="1:18" ht="14.9" customHeight="1">
      <c r="A18" s="11"/>
      <c r="B18" s="2"/>
      <c r="C18" s="2"/>
      <c r="D18" s="23"/>
      <c r="E18" s="2"/>
      <c r="F18" s="2"/>
      <c r="G18" s="2"/>
      <c r="H18" s="2"/>
      <c r="I18" s="285"/>
      <c r="K18" s="339" t="s">
        <v>373</v>
      </c>
      <c r="L18" s="79"/>
      <c r="M18" s="79"/>
      <c r="N18" s="79"/>
      <c r="O18" s="79"/>
      <c r="P18" s="79"/>
      <c r="Q18" s="356">
        <f>SUM(IF(ISNUMBER(N6),N6*Q6,0),IF(ISNUMBER(N7),N7*Q7,0),IF(ISNUMBER(N8),N8*Q8,0),IF(ISNUMBER(N9),N9*Q9,0),IF(ISNUMBER(N10),N10*Q10,0),IF(ISNUMBER(N11),N11*Q11,0),IF(ISNUMBER(N12),N12*Q12,0),IF(ISNUMBER(N13),N13*Q13,0),IF(ISNUMBER(N14),N14*Q14,0),IF(ISNUMBER(N15),N15*Q15,0)) / IF(SUM(IF(ISNUMBER(N6),N6,0),IF(ISNUMBER(N7),N7,0),IF(ISNUMBER(N8),N8,0),IF(ISNUMBER(N9),N9,0),IF(ISNUMBER(N10),N10,0),IF(ISNUMBER(N11),N11,0),IF(ISNUMBER(N12),N12,0),IF(ISNUMBER(N13),N13,0),IF(ISNUMBER(N14),N14,0),IF(ISNUMBER(N15),N15,0))=0,"",SUM(IF(ISNUMBER(N6),N6,0),IF(ISNUMBER(N7),N7,0),IF(ISNUMBER(N8),N8,0),IF(ISNUMBER(N9),N9,0),IF(ISNUMBER(N10),N10,0),IF(ISNUMBER(N11),N11,0),IF(ISNUMBER(N12),N12,0),IF(ISNUMBER(N13),N13,0),IF(ISNUMBER(N14),N14,0),IF(ISNUMBER(N15),N15,0)))</f>
        <v>5.716981132075472</v>
      </c>
    </row>
    <row r="19" spans="1:18" ht="19.5" customHeight="1" thickBot="1">
      <c r="A19" s="11"/>
      <c r="B19" s="2"/>
      <c r="C19" s="2"/>
      <c r="D19" s="23"/>
      <c r="E19" s="2"/>
      <c r="F19" s="442" t="s">
        <v>407</v>
      </c>
      <c r="G19" s="442"/>
      <c r="H19" s="442"/>
      <c r="I19" s="288"/>
      <c r="R19" s="329"/>
    </row>
    <row r="20" spans="1:18" ht="14.9" customHeight="1">
      <c r="A20" s="11"/>
      <c r="B20" s="245"/>
      <c r="C20" s="245"/>
      <c r="D20" s="245"/>
      <c r="E20" s="245"/>
      <c r="F20" s="10"/>
      <c r="G20" s="10"/>
      <c r="H20" s="2"/>
      <c r="I20" s="5"/>
      <c r="K20" s="453" t="s">
        <v>0</v>
      </c>
      <c r="L20" s="454"/>
      <c r="M20" s="455" t="s">
        <v>387</v>
      </c>
      <c r="N20" s="456"/>
    </row>
    <row r="21" spans="1:18">
      <c r="A21" s="11"/>
      <c r="B21" s="2"/>
      <c r="C21" s="2"/>
      <c r="D21" s="23"/>
      <c r="E21" s="2"/>
      <c r="F21" s="450" t="s">
        <v>318</v>
      </c>
      <c r="G21" s="450"/>
      <c r="H21" s="2"/>
      <c r="I21" s="5"/>
      <c r="K21" s="465" t="s">
        <v>2</v>
      </c>
      <c r="L21" s="466"/>
      <c r="M21" s="376">
        <v>1</v>
      </c>
      <c r="N21" s="270" t="s">
        <v>61</v>
      </c>
    </row>
    <row r="22" spans="1:18" ht="24.75" customHeight="1">
      <c r="A22" s="11"/>
      <c r="B22" s="2"/>
      <c r="C22" s="2"/>
      <c r="D22" s="23"/>
      <c r="E22" s="2"/>
      <c r="F22" s="450"/>
      <c r="G22" s="450"/>
      <c r="H22" s="231">
        <f>ROUND(((H6+H10+H17)/3),0)</f>
        <v>2</v>
      </c>
      <c r="I22" s="5"/>
      <c r="K22" s="465" t="s">
        <v>3</v>
      </c>
      <c r="L22" s="466"/>
      <c r="M22" s="240">
        <v>2</v>
      </c>
      <c r="N22" s="241" t="s">
        <v>63</v>
      </c>
    </row>
    <row r="23" spans="1:18" ht="14.9" customHeight="1">
      <c r="A23" s="11"/>
      <c r="B23" s="2"/>
      <c r="C23" s="2"/>
      <c r="D23" s="23"/>
      <c r="E23" s="2"/>
      <c r="F23" s="2"/>
      <c r="G23" s="2"/>
      <c r="H23" s="2"/>
      <c r="I23" s="5"/>
      <c r="K23" s="465" t="s">
        <v>5</v>
      </c>
      <c r="L23" s="466"/>
      <c r="M23" s="242">
        <v>3</v>
      </c>
      <c r="N23" s="243" t="s">
        <v>65</v>
      </c>
    </row>
    <row r="24" spans="1:18" ht="14.25" customHeight="1">
      <c r="A24" s="14"/>
      <c r="B24" s="3"/>
      <c r="C24" s="3"/>
      <c r="D24" s="232"/>
      <c r="E24" s="3"/>
      <c r="F24" s="233"/>
      <c r="G24" s="233"/>
      <c r="H24" s="3"/>
      <c r="I24" s="7"/>
      <c r="K24" s="465" t="s">
        <v>7</v>
      </c>
      <c r="L24" s="466"/>
      <c r="M24" s="377">
        <v>4</v>
      </c>
      <c r="N24" s="274" t="s">
        <v>67</v>
      </c>
    </row>
    <row r="25" spans="1:18" ht="15" thickBot="1">
      <c r="A25" s="17"/>
      <c r="B25" s="4"/>
      <c r="C25" s="4"/>
      <c r="D25" s="225"/>
      <c r="E25" s="4"/>
      <c r="F25" s="4"/>
      <c r="G25" s="4"/>
      <c r="H25" s="4"/>
      <c r="I25" s="12"/>
      <c r="K25" s="467" t="s">
        <v>9</v>
      </c>
      <c r="L25" s="468"/>
      <c r="M25" s="262">
        <v>5</v>
      </c>
      <c r="N25" s="263" t="s">
        <v>69</v>
      </c>
    </row>
    <row r="26" spans="1:18" ht="21" customHeight="1" thickBot="1">
      <c r="A26" s="18" t="s">
        <v>87</v>
      </c>
      <c r="B26" s="2"/>
      <c r="C26" s="23"/>
      <c r="D26" s="2"/>
      <c r="E26" s="2"/>
      <c r="F26" s="2"/>
      <c r="G26" s="2"/>
      <c r="H26" s="2"/>
      <c r="I26" s="5"/>
    </row>
    <row r="27" spans="1:18" ht="19" thickBot="1">
      <c r="A27" s="448" t="s">
        <v>88</v>
      </c>
      <c r="B27" s="449"/>
      <c r="C27" s="92"/>
      <c r="D27" s="92"/>
      <c r="E27" s="2"/>
      <c r="F27" s="2"/>
      <c r="G27" s="2"/>
      <c r="H27" s="2"/>
      <c r="I27" s="5"/>
      <c r="K27" s="569" t="s">
        <v>115</v>
      </c>
      <c r="L27" s="570"/>
      <c r="M27" s="571"/>
      <c r="N27" s="567" t="s">
        <v>387</v>
      </c>
      <c r="O27" s="568"/>
    </row>
    <row r="28" spans="1:18" ht="14.4" customHeight="1">
      <c r="A28" s="11"/>
      <c r="B28" s="2"/>
      <c r="C28" s="10"/>
      <c r="D28" s="23"/>
      <c r="E28" s="2"/>
      <c r="F28" s="2"/>
      <c r="G28" s="2"/>
      <c r="H28" s="2"/>
      <c r="I28" s="5"/>
      <c r="K28" s="572" t="s">
        <v>447</v>
      </c>
      <c r="L28" s="573"/>
      <c r="M28" s="574"/>
      <c r="N28" s="340">
        <v>1</v>
      </c>
      <c r="O28" s="341" t="s">
        <v>61</v>
      </c>
    </row>
    <row r="29" spans="1:18" ht="14.4" customHeight="1">
      <c r="A29" s="11" t="s">
        <v>401</v>
      </c>
      <c r="B29" s="2"/>
      <c r="C29" s="10"/>
      <c r="D29" s="23">
        <f>'GeStruk-Ziel'!Q44</f>
        <v>2.5</v>
      </c>
      <c r="E29" s="2"/>
      <c r="F29" s="2" t="s">
        <v>403</v>
      </c>
      <c r="G29" s="2"/>
      <c r="H29" s="260" t="str">
        <f>VLOOKUP(D29,{0,"5";2.61,"4";3.51,"3";4.41,"2";5.31,"1"},2,1)</f>
        <v>5</v>
      </c>
      <c r="I29" s="5"/>
      <c r="K29" s="559" t="s">
        <v>374</v>
      </c>
      <c r="L29" s="560"/>
      <c r="M29" s="561"/>
      <c r="N29" s="565">
        <v>2</v>
      </c>
      <c r="O29" s="554" t="s">
        <v>63</v>
      </c>
    </row>
    <row r="30" spans="1:18" ht="14.4" customHeight="1">
      <c r="A30" s="11"/>
      <c r="B30" s="2"/>
      <c r="C30" s="2"/>
      <c r="D30" s="23"/>
      <c r="E30" s="2"/>
      <c r="F30" s="2"/>
      <c r="G30" s="2"/>
      <c r="H30" s="2"/>
      <c r="I30" s="5"/>
      <c r="K30" s="562"/>
      <c r="L30" s="563"/>
      <c r="M30" s="564"/>
      <c r="N30" s="566"/>
      <c r="O30" s="555"/>
    </row>
    <row r="31" spans="1:18" ht="16.5">
      <c r="A31" s="11" t="s">
        <v>402</v>
      </c>
      <c r="B31" s="235"/>
      <c r="C31" s="235"/>
      <c r="D31" s="23"/>
      <c r="E31" s="2"/>
      <c r="F31" s="2"/>
      <c r="G31" s="2"/>
      <c r="H31" s="2"/>
      <c r="I31" s="5"/>
      <c r="K31" s="559" t="s">
        <v>117</v>
      </c>
      <c r="L31" s="594"/>
      <c r="M31" s="595"/>
      <c r="N31" s="596">
        <v>3</v>
      </c>
      <c r="O31" s="598" t="s">
        <v>65</v>
      </c>
    </row>
    <row r="32" spans="1:18">
      <c r="A32" s="11"/>
      <c r="B32" s="235"/>
      <c r="C32" s="235"/>
      <c r="D32" s="23"/>
      <c r="E32" s="2"/>
      <c r="F32" s="2"/>
      <c r="G32" s="2"/>
      <c r="H32" s="2"/>
      <c r="I32" s="5"/>
      <c r="K32" s="585"/>
      <c r="L32" s="586"/>
      <c r="M32" s="587"/>
      <c r="N32" s="597"/>
      <c r="O32" s="599"/>
    </row>
    <row r="33" spans="1:16" ht="14.9" customHeight="1">
      <c r="A33" s="11"/>
      <c r="B33" s="2" t="s">
        <v>23</v>
      </c>
      <c r="C33" s="2"/>
      <c r="D33" s="328">
        <f>IF(ISNUMBER(Q18),((Q18*N16+Q5*N5)/(N5+N16)),Q5)</f>
        <v>3.97</v>
      </c>
      <c r="E33" s="2"/>
      <c r="F33" s="437" t="s">
        <v>409</v>
      </c>
      <c r="G33" s="526"/>
      <c r="H33" s="23"/>
      <c r="I33" s="5"/>
      <c r="K33" s="559" t="s">
        <v>446</v>
      </c>
      <c r="L33" s="594"/>
      <c r="M33" s="595"/>
      <c r="N33" s="603">
        <v>4</v>
      </c>
      <c r="O33" s="605" t="s">
        <v>67</v>
      </c>
    </row>
    <row r="34" spans="1:16" ht="14.9" customHeight="1">
      <c r="A34" s="11"/>
      <c r="B34" s="2"/>
      <c r="C34" s="2"/>
      <c r="D34" s="101"/>
      <c r="E34" s="2"/>
      <c r="F34" s="526"/>
      <c r="G34" s="526"/>
      <c r="H34" s="260" t="str">
        <f>IF(ISNUMBER(D33),VLOOKUP(D33,{0,"5";2.61,"4";3.51,"3";4.41,"2";5.31,"1"},2,1),"")</f>
        <v>3</v>
      </c>
      <c r="I34" s="5"/>
      <c r="K34" s="600"/>
      <c r="L34" s="601"/>
      <c r="M34" s="602"/>
      <c r="N34" s="604"/>
      <c r="O34" s="606"/>
    </row>
    <row r="35" spans="1:16" ht="14.9" customHeight="1" thickBot="1">
      <c r="A35" s="11"/>
      <c r="B35" s="442" t="s">
        <v>408</v>
      </c>
      <c r="C35" s="442"/>
      <c r="D35" s="442"/>
      <c r="E35" s="442"/>
      <c r="F35" s="442"/>
      <c r="G35" s="442"/>
      <c r="H35" s="2"/>
      <c r="I35" s="5"/>
      <c r="K35" s="591" t="s">
        <v>116</v>
      </c>
      <c r="L35" s="592"/>
      <c r="M35" s="593"/>
      <c r="N35" s="262">
        <v>5</v>
      </c>
      <c r="O35" s="263" t="s">
        <v>69</v>
      </c>
    </row>
    <row r="36" spans="1:16" ht="15.75" customHeight="1">
      <c r="A36" s="11"/>
      <c r="B36" s="442"/>
      <c r="C36" s="442"/>
      <c r="D36" s="442"/>
      <c r="E36" s="442"/>
      <c r="F36" s="442"/>
      <c r="G36" s="442"/>
      <c r="H36" s="2"/>
      <c r="I36" s="5"/>
    </row>
    <row r="37" spans="1:16" ht="18.75" customHeight="1" thickBot="1">
      <c r="A37" s="11"/>
      <c r="B37" s="442"/>
      <c r="C37" s="442"/>
      <c r="D37" s="442"/>
      <c r="E37" s="442"/>
      <c r="F37" s="442"/>
      <c r="G37" s="442"/>
      <c r="H37" s="261">
        <f>Stammdaten!L27*100</f>
        <v>1000</v>
      </c>
      <c r="I37" s="5"/>
    </row>
    <row r="38" spans="1:16" ht="18.75" customHeight="1">
      <c r="A38" s="11"/>
      <c r="B38" s="245"/>
      <c r="C38" s="245"/>
      <c r="D38" s="245"/>
      <c r="E38" s="245"/>
      <c r="F38" s="245"/>
      <c r="G38" s="245"/>
      <c r="H38" s="261"/>
      <c r="I38" s="5"/>
      <c r="K38" s="582" t="s">
        <v>420</v>
      </c>
      <c r="L38" s="583"/>
      <c r="M38" s="583"/>
      <c r="N38" s="583"/>
      <c r="O38" s="583"/>
      <c r="P38" s="584"/>
    </row>
    <row r="39" spans="1:16">
      <c r="A39" s="11"/>
      <c r="B39" s="2"/>
      <c r="C39" s="2"/>
      <c r="D39" s="23"/>
      <c r="E39" s="2"/>
      <c r="F39" s="2"/>
      <c r="G39" s="2"/>
      <c r="H39" s="2"/>
      <c r="I39" s="5"/>
      <c r="K39" s="585"/>
      <c r="L39" s="586"/>
      <c r="M39" s="586"/>
      <c r="N39" s="586"/>
      <c r="O39" s="586"/>
      <c r="P39" s="587"/>
    </row>
    <row r="40" spans="1:16" ht="14.4" customHeight="1">
      <c r="A40" s="11"/>
      <c r="B40" s="422" t="s">
        <v>75</v>
      </c>
      <c r="C40" s="422"/>
      <c r="D40" s="63" t="s">
        <v>105</v>
      </c>
      <c r="E40" s="2"/>
      <c r="F40" s="422" t="s">
        <v>411</v>
      </c>
      <c r="G40" s="422"/>
      <c r="H40" s="2"/>
      <c r="I40" s="5"/>
      <c r="K40" s="585"/>
      <c r="L40" s="586"/>
      <c r="M40" s="586"/>
      <c r="N40" s="586"/>
      <c r="O40" s="586"/>
      <c r="P40" s="587"/>
    </row>
    <row r="41" spans="1:16" ht="19.5" customHeight="1">
      <c r="A41" s="11"/>
      <c r="B41" s="2"/>
      <c r="C41" s="2"/>
      <c r="D41" s="23"/>
      <c r="E41" s="2"/>
      <c r="F41" s="422"/>
      <c r="G41" s="422"/>
      <c r="H41" s="16">
        <f>IF(ISNUMBER(D33),IF(H34="5",5,(IF(D40="Ja",1,0)+H34)),"")</f>
        <v>4</v>
      </c>
      <c r="I41" s="5"/>
      <c r="K41" s="585"/>
      <c r="L41" s="586"/>
      <c r="M41" s="586"/>
      <c r="N41" s="586"/>
      <c r="O41" s="586"/>
      <c r="P41" s="587"/>
    </row>
    <row r="42" spans="1:16">
      <c r="A42" s="11"/>
      <c r="B42" s="442" t="s">
        <v>144</v>
      </c>
      <c r="C42" s="442"/>
      <c r="D42" s="442"/>
      <c r="E42" s="2"/>
      <c r="F42" s="10"/>
      <c r="G42" s="10"/>
      <c r="H42" s="2"/>
      <c r="I42" s="5"/>
      <c r="K42" s="585"/>
      <c r="L42" s="586"/>
      <c r="M42" s="586"/>
      <c r="N42" s="586"/>
      <c r="O42" s="586"/>
      <c r="P42" s="587"/>
    </row>
    <row r="43" spans="1:16" ht="14.4" customHeight="1" thickBot="1">
      <c r="A43" s="11"/>
      <c r="B43" s="442"/>
      <c r="C43" s="442"/>
      <c r="D43" s="442"/>
      <c r="E43" s="2"/>
      <c r="F43" s="2"/>
      <c r="G43" s="2"/>
      <c r="H43" s="2"/>
      <c r="I43" s="6"/>
      <c r="K43" s="588"/>
      <c r="L43" s="589"/>
      <c r="M43" s="589"/>
      <c r="N43" s="589"/>
      <c r="O43" s="589"/>
      <c r="P43" s="590"/>
    </row>
    <row r="44" spans="1:16" ht="14.4" customHeight="1">
      <c r="A44" s="11"/>
      <c r="B44" s="2"/>
      <c r="C44" s="2"/>
      <c r="D44" s="23"/>
      <c r="E44" s="15"/>
      <c r="F44" s="2"/>
      <c r="G44" s="2"/>
      <c r="H44" s="2"/>
      <c r="I44" s="5"/>
    </row>
    <row r="45" spans="1:16">
      <c r="A45" s="11"/>
      <c r="B45" s="2"/>
      <c r="C45" s="2"/>
      <c r="D45" s="23"/>
      <c r="E45" s="15"/>
      <c r="F45" s="2"/>
      <c r="G45" s="2"/>
      <c r="H45" s="2"/>
      <c r="I45" s="5"/>
    </row>
    <row r="46" spans="1:16" ht="16.5">
      <c r="A46" s="11" t="s">
        <v>406</v>
      </c>
      <c r="B46" s="360"/>
      <c r="C46" s="360"/>
      <c r="D46" s="15"/>
      <c r="E46" s="15"/>
      <c r="F46" s="437" t="s">
        <v>410</v>
      </c>
      <c r="G46" s="437"/>
      <c r="H46" s="56">
        <v>5</v>
      </c>
      <c r="I46" s="6"/>
    </row>
    <row r="47" spans="1:16">
      <c r="A47" s="11"/>
      <c r="B47" s="245"/>
      <c r="C47" s="245"/>
      <c r="D47" s="245"/>
      <c r="E47" s="15"/>
      <c r="F47" s="2"/>
      <c r="G47" s="2"/>
      <c r="H47" s="2"/>
      <c r="I47" s="285"/>
    </row>
    <row r="48" spans="1:16" ht="14.9" customHeight="1">
      <c r="A48" s="11"/>
      <c r="B48" s="2"/>
      <c r="C48" s="2"/>
      <c r="D48" s="23"/>
      <c r="E48" s="2"/>
      <c r="F48" s="442" t="s">
        <v>338</v>
      </c>
      <c r="G48" s="442"/>
      <c r="H48" s="442"/>
      <c r="I48" s="288"/>
    </row>
    <row r="49" spans="1:9">
      <c r="A49" s="11"/>
      <c r="B49" s="2"/>
      <c r="C49" s="2"/>
      <c r="D49" s="23"/>
      <c r="E49" s="2"/>
      <c r="F49" s="2"/>
      <c r="G49" s="2"/>
      <c r="H49" s="13"/>
      <c r="I49" s="5"/>
    </row>
    <row r="50" spans="1:9" ht="14.9" customHeight="1">
      <c r="A50" s="11"/>
      <c r="B50" s="2"/>
      <c r="C50" s="2"/>
      <c r="D50" s="23"/>
      <c r="E50" s="2"/>
      <c r="F50" s="450" t="s">
        <v>318</v>
      </c>
      <c r="G50" s="450"/>
      <c r="H50" s="2"/>
      <c r="I50" s="5"/>
    </row>
    <row r="51" spans="1:9">
      <c r="A51" s="11"/>
      <c r="B51" s="2"/>
      <c r="C51" s="2"/>
      <c r="D51" s="23"/>
      <c r="E51" s="2"/>
      <c r="F51" s="450"/>
      <c r="G51" s="450"/>
      <c r="H51" s="231">
        <f>ROUND(((H29+H41+H46)/3),0)</f>
        <v>5</v>
      </c>
      <c r="I51" s="5"/>
    </row>
    <row r="52" spans="1:9">
      <c r="A52" s="11"/>
      <c r="B52" s="2"/>
      <c r="C52" s="2"/>
      <c r="D52" s="23"/>
      <c r="E52" s="2"/>
      <c r="F52" s="2"/>
      <c r="G52" s="2"/>
      <c r="H52" s="2"/>
      <c r="I52" s="5"/>
    </row>
    <row r="53" spans="1:9">
      <c r="A53" s="14"/>
      <c r="B53" s="3"/>
      <c r="C53" s="3"/>
      <c r="D53" s="232"/>
      <c r="E53" s="3"/>
      <c r="F53" s="233"/>
      <c r="G53" s="233"/>
      <c r="H53" s="3"/>
      <c r="I53" s="7"/>
    </row>
  </sheetData>
  <sheetProtection algorithmName="SHA-512" hashValue="AA2e7we2of9Yu1FEcxslHRYSiqwpYnWr97l33WCd29ZMWjlvEpNL3lkIIiHwEM5O4TYcGFhp33qKbMqJwrwNoA==" saltValue="wYcUiZlGEfD8Tj1piITl1g==" spinCount="100000" sheet="1" objects="1" scenarios="1"/>
  <customSheetViews>
    <customSheetView guid="{B75063BA-4717-43F8-8B16-CDCBE07E925A}" showPageBreaks="1" topLeftCell="A16">
      <selection activeCell="L39" sqref="L39"/>
    </customSheetView>
  </customSheetViews>
  <mergeCells count="49">
    <mergeCell ref="K38:P43"/>
    <mergeCell ref="K23:L23"/>
    <mergeCell ref="K24:L24"/>
    <mergeCell ref="K25:L25"/>
    <mergeCell ref="K35:M35"/>
    <mergeCell ref="K31:M32"/>
    <mergeCell ref="N31:N32"/>
    <mergeCell ref="O31:O32"/>
    <mergeCell ref="K33:M34"/>
    <mergeCell ref="N33:N34"/>
    <mergeCell ref="O33:O34"/>
    <mergeCell ref="A27:B27"/>
    <mergeCell ref="F50:G51"/>
    <mergeCell ref="F33:G34"/>
    <mergeCell ref="F40:G41"/>
    <mergeCell ref="B35:G37"/>
    <mergeCell ref="F48:H48"/>
    <mergeCell ref="F46:G46"/>
    <mergeCell ref="B42:D43"/>
    <mergeCell ref="B40:C40"/>
    <mergeCell ref="K8:M8"/>
    <mergeCell ref="K10:M10"/>
    <mergeCell ref="K9:M9"/>
    <mergeCell ref="A4:B4"/>
    <mergeCell ref="F21:G22"/>
    <mergeCell ref="F10:G11"/>
    <mergeCell ref="B12:G14"/>
    <mergeCell ref="F19:H19"/>
    <mergeCell ref="M20:N20"/>
    <mergeCell ref="K20:L20"/>
    <mergeCell ref="K21:L21"/>
    <mergeCell ref="K22:L22"/>
    <mergeCell ref="K16:M17"/>
    <mergeCell ref="A1:AA1"/>
    <mergeCell ref="O29:O30"/>
    <mergeCell ref="K15:M15"/>
    <mergeCell ref="K5:M5"/>
    <mergeCell ref="K29:M30"/>
    <mergeCell ref="N29:N30"/>
    <mergeCell ref="K11:M11"/>
    <mergeCell ref="K12:M12"/>
    <mergeCell ref="K13:M13"/>
    <mergeCell ref="K14:M14"/>
    <mergeCell ref="N27:O27"/>
    <mergeCell ref="K27:M27"/>
    <mergeCell ref="K28:M28"/>
    <mergeCell ref="K4:M4"/>
    <mergeCell ref="K6:M6"/>
    <mergeCell ref="K7:M7"/>
  </mergeCells>
  <phoneticPr fontId="20" type="noConversion"/>
  <pageMargins left="0.70866141732283472" right="0.70866141732283472" top="0.78740157480314965" bottom="0.78740157480314965" header="0.31496062992125984" footer="0.31496062992125984"/>
  <pageSetup paperSize="9" scale="57" orientation="landscape" horizontalDpi="200" verticalDpi="200" r:id="rId1"/>
  <headerFooter>
    <oddHeader>&amp;L&amp;D&amp;C&amp;A&amp;R&amp;P/&amp;N</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9B01C6E2-2CD0-4106-B14B-75AC0176609A}">
          <x14:formula1>
            <xm:f>key!$B$25:$B$26</xm:f>
          </x14:formula1>
          <xm:sqref>D40</xm:sqref>
        </x14:dataValidation>
        <x14:dataValidation type="list" allowBlank="1" showInputMessage="1" showErrorMessage="1" xr:uid="{84F63841-4F8D-4075-A09E-02D07A1C2856}">
          <x14:formula1>
            <xm:f>key!$D$33:$D$37</xm:f>
          </x14:formula1>
          <xm:sqref>H17 H46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19</vt:i4>
      </vt:variant>
    </vt:vector>
  </HeadingPairs>
  <TitlesOfParts>
    <vt:vector size="36" baseType="lpstr">
      <vt:lpstr>Stammdaten</vt:lpstr>
      <vt:lpstr>GeStruk-Ist</vt:lpstr>
      <vt:lpstr>GeStruk-Ziel</vt:lpstr>
      <vt:lpstr>BVG</vt:lpstr>
      <vt:lpstr>BVA</vt:lpstr>
      <vt:lpstr>MK</vt:lpstr>
      <vt:lpstr>NWR</vt:lpstr>
      <vt:lpstr>HWR</vt:lpstr>
      <vt:lpstr>SR</vt:lpstr>
      <vt:lpstr>BSR</vt:lpstr>
      <vt:lpstr>NE</vt:lpstr>
      <vt:lpstr>UB</vt:lpstr>
      <vt:lpstr>LB</vt:lpstr>
      <vt:lpstr>Auswertung</vt:lpstr>
      <vt:lpstr>Wertigkeit</vt:lpstr>
      <vt:lpstr>key</vt:lpstr>
      <vt:lpstr>Anleitung</vt:lpstr>
      <vt:lpstr>NE!_Hlk115166499</vt:lpstr>
      <vt:lpstr>NE!_Hlk119307503</vt:lpstr>
      <vt:lpstr>NE!_Hlk119308177</vt:lpstr>
      <vt:lpstr>BVG!_Hlk121840604</vt:lpstr>
      <vt:lpstr>Auswertung!Druckbereich</vt:lpstr>
      <vt:lpstr>BSR!Druckbereich</vt:lpstr>
      <vt:lpstr>BVA!Druckbereich</vt:lpstr>
      <vt:lpstr>BVG!Druckbereich</vt:lpstr>
      <vt:lpstr>'GeStruk-Ist'!Druckbereich</vt:lpstr>
      <vt:lpstr>'GeStruk-Ziel'!Druckbereich</vt:lpstr>
      <vt:lpstr>HWR!Druckbereich</vt:lpstr>
      <vt:lpstr>LB!Druckbereich</vt:lpstr>
      <vt:lpstr>MK!Druckbereich</vt:lpstr>
      <vt:lpstr>NE!Druckbereich</vt:lpstr>
      <vt:lpstr>NWR!Druckbereich</vt:lpstr>
      <vt:lpstr>SR!Druckbereich</vt:lpstr>
      <vt:lpstr>Stammdaten!Druckbereich</vt:lpstr>
      <vt:lpstr>UB!Druckbereich</vt:lpstr>
      <vt:lpstr>Wertigkeit!Druckbereich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2025-02-05T10:18:51Z</dcterms:modified>
</cp:coreProperties>
</file>